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D:\Dossier\T-GAS\Prestations\Service Energie\2021-03_Mega_Energie\"/>
    </mc:Choice>
  </mc:AlternateContent>
  <xr:revisionPtr revIDLastSave="0" documentId="13_ncr:1_{9A60EA9B-244C-461B-A7ED-2DF02A1A0B21}" xr6:coauthVersionLast="46" xr6:coauthVersionMax="46" xr10:uidLastSave="{00000000-0000-0000-0000-000000000000}"/>
  <workbookProtection workbookAlgorithmName="SHA-512" workbookHashValue="KqGJs6yvZpV6Zr5Kev1DWHLnvSOSr4+W5GbF7FmAgIEK0PtIaSciDVo05FGqX+uljm6Z3gkz3TPHorqj+3ZR0Q==" workbookSaltValue="lrhTRgzyc4Xl7kp/92cprA==" workbookSpinCount="100000" lockStructure="1"/>
  <bookViews>
    <workbookView xWindow="-120" yWindow="-120" windowWidth="29040" windowHeight="15840" tabRatio="734" activeTab="1" xr2:uid="{99B7AB3C-9CBE-4E67-A1D9-67B3E2A75FF6}"/>
  </bookViews>
  <sheets>
    <sheet name="Mode d'emploi" sheetId="14" r:id="rId1"/>
    <sheet name="1a_Electricité_Comparatifs_Base" sheetId="6" r:id="rId2"/>
    <sheet name="1b_Electricité_Comparatifs_HPHC" sheetId="1" r:id="rId3"/>
    <sheet name="2_Gaz_Comparatif" sheetId="10" r:id="rId4"/>
    <sheet name="EDF" sheetId="4" r:id="rId5"/>
    <sheet name="MégaEnergie_Elec" sheetId="9" r:id="rId6"/>
    <sheet name="ENGIE" sheetId="11" r:id="rId7"/>
    <sheet name="MégaEnergie_Gaz" sheetId="12" r:id="rId8"/>
    <sheet name="Calculateur_conso_bimensuelles" sheetId="7" state="hidden" r:id="rId9"/>
    <sheet name="Feuil1 (2)" sheetId="3" state="hidden" r:id="rId10"/>
  </sheets>
  <externalReferences>
    <externalReference r:id="rId11"/>
    <externalReference r:id="rId12"/>
  </externalReferences>
  <definedNames>
    <definedName name="Chez_moi_Base" localSheetId="0">'[1]MEGA ENERGIE'!$B$9:$D$17</definedName>
    <definedName name="Chez_moi_Base">#REF!</definedName>
    <definedName name="Chez_moi_Base_1" localSheetId="0">'[1]MEGA ENERGIE'!#REF!</definedName>
    <definedName name="Chez_moi_Base_1">#REF!</definedName>
    <definedName name="Chez_moi_HPHC" localSheetId="0">'[1]MEGA ENERGIE'!$B$23:$E$30</definedName>
    <definedName name="Chez_moi_HPHC">#REF!</definedName>
    <definedName name="Chez_moi_HPHC_1" localSheetId="0">'[1]MEGA ENERGIE'!#REF!</definedName>
    <definedName name="Chez_moi_HPHC_1">#REF!</definedName>
    <definedName name="CM_HPHC">[2]IBERDROLA!$B$23:$E$30</definedName>
    <definedName name="MA_HPHC">[2]IBERDROLA!$H$23:$K$30</definedName>
    <definedName name="ME_HPHC">[2]EDF!$B$23:$E$30</definedName>
    <definedName name="MEE_HPHC">[2]EDF!$H$23:$K$30</definedName>
    <definedName name="Mon_Affaire_Base" localSheetId="0">'[1]MEGA ENERGIE'!$B$39:$D$47</definedName>
    <definedName name="Mon_Affaire_Base">#REF!</definedName>
    <definedName name="Mon_Affaire_Base_1" localSheetId="0">'[1]MEGA ENERGIE'!#REF!</definedName>
    <definedName name="Mon_Affaire_Base_1">#REF!</definedName>
    <definedName name="Mon_Affaire_HPHC" localSheetId="0">'[1]MEGA ENERGIE'!$B$53:$E$60</definedName>
    <definedName name="Mon_Affaire_HPHC">#REF!</definedName>
    <definedName name="Mon_Affaire_HPHC_1" localSheetId="0">'[1]MEGA ENERGIE'!#REF!</definedName>
    <definedName name="Mon_Affaire_HPHC_1">#REF!</definedName>
    <definedName name="TB_Base" localSheetId="0">[1]EDF!$B$9:$D$17</definedName>
    <definedName name="TB_Base">EDF!$B$9:$D$17</definedName>
    <definedName name="TB_HPHC" localSheetId="0">[1]EDF!$B$23:$E$30</definedName>
    <definedName name="TB_HPHC">EDF!$B$23:$E$30</definedName>
    <definedName name="TB1_Base">EDF!#REF!</definedName>
    <definedName name="TB1_HPHC">EDF!#REF!</definedName>
    <definedName name="TB2_Base" localSheetId="0">[1]EDF!#REF!</definedName>
    <definedName name="TB2_Base">EDF!#REF!</definedName>
    <definedName name="TB2_HPHC" localSheetId="0">[1]EDF!#REF!</definedName>
    <definedName name="TB2_HPHC">EDF!#REF!</definedName>
    <definedName name="TBE_Base" localSheetId="0">[1]EDF!$B$42:$D$50</definedName>
    <definedName name="TBE_Base">EDF!$B$42:$D$50</definedName>
    <definedName name="TBE_HPHC" localSheetId="0">[1]EDF!$B$56:$E$63</definedName>
    <definedName name="TBE_HPHC">EDF!$B$56:$E$63</definedName>
    <definedName name="TBE1_Base">EDF!#REF!</definedName>
    <definedName name="TBE1_HPHC">EDF!#REF!</definedName>
    <definedName name="TBE2_Base" localSheetId="0">[1]EDF!#REF!</definedName>
    <definedName name="TBE2_Base">EDF!#REF!</definedName>
    <definedName name="TBE2_HPHC" localSheetId="0">[1]EDF!#REF!</definedName>
    <definedName name="TBE2_HPHC">EDF!#REF!</definedName>
    <definedName name="YG_Part_Base" localSheetId="0">#REF!</definedName>
    <definedName name="YG_Part_Base">MégaEnergie_Elec!$B$9:$D$17</definedName>
    <definedName name="YG_Part_HPHC" localSheetId="0">#REF!</definedName>
    <definedName name="YG_Part_HPHC">MégaEnergie_Elec!$B$23:$E$30</definedName>
    <definedName name="YG_Pro_Base" localSheetId="0">#REF!</definedName>
    <definedName name="YG_Pro_Base">MégaEnergie_Elec!$B$39:$D$47</definedName>
    <definedName name="YG_Pro_HPHC" localSheetId="0">#REF!</definedName>
    <definedName name="YG_Pro_HPHC">MégaEnergie_Elec!$B$53:$E$60</definedName>
    <definedName name="_xlnm.Print_Area" localSheetId="1">'1a_Electricité_Comparatifs_Base'!$A$1:$M$22</definedName>
    <definedName name="_xlnm.Print_Area" localSheetId="2">'1b_Electricité_Comparatifs_HPHC'!$A$1:$P$22</definedName>
    <definedName name="_xlnm.Print_Area" localSheetId="3">'2_Gaz_Comparatif'!$A$1:$M$22</definedName>
    <definedName name="_xlnm.Print_Area" localSheetId="4">EDF!$A$1:$F$66</definedName>
    <definedName name="_xlnm.Print_Area" localSheetId="6">ENGIE!$A$1:$G$18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E25" i="9"/>
  <c r="E26" i="9"/>
  <c r="E27" i="9"/>
  <c r="E28" i="9"/>
  <c r="E29" i="9"/>
  <c r="E30" i="9"/>
  <c r="E23" i="9"/>
  <c r="D24" i="9"/>
  <c r="D25" i="9"/>
  <c r="D26" i="9"/>
  <c r="D27" i="9"/>
  <c r="D28" i="9"/>
  <c r="D29" i="9"/>
  <c r="D30" i="9"/>
  <c r="D23" i="9"/>
  <c r="C24" i="9"/>
  <c r="C25" i="9"/>
  <c r="C26" i="9"/>
  <c r="C27" i="9"/>
  <c r="C28" i="9"/>
  <c r="C29" i="9"/>
  <c r="C30" i="9"/>
  <c r="C23" i="9"/>
  <c r="D10" i="9"/>
  <c r="D11" i="9"/>
  <c r="D12" i="9"/>
  <c r="D13" i="9"/>
  <c r="D14" i="9"/>
  <c r="D15" i="9"/>
  <c r="D16" i="9"/>
  <c r="D17" i="9"/>
  <c r="D9" i="9"/>
  <c r="C10" i="9"/>
  <c r="C11" i="9"/>
  <c r="C12" i="9"/>
  <c r="C13" i="9"/>
  <c r="C14" i="9"/>
  <c r="C15" i="9"/>
  <c r="C16" i="9"/>
  <c r="C17" i="9"/>
  <c r="C9" i="9"/>
  <c r="E11" i="12"/>
  <c r="F11" i="12"/>
  <c r="G11" i="12"/>
  <c r="E12" i="12"/>
  <c r="F12" i="12"/>
  <c r="G12" i="12"/>
  <c r="E13" i="12"/>
  <c r="F13" i="12"/>
  <c r="G13" i="12"/>
  <c r="E14" i="12"/>
  <c r="F14" i="12"/>
  <c r="G14" i="12"/>
  <c r="E15" i="12"/>
  <c r="F15" i="12"/>
  <c r="G15" i="12"/>
  <c r="E16" i="12"/>
  <c r="F16" i="12"/>
  <c r="G16" i="12"/>
  <c r="D12" i="12"/>
  <c r="D13" i="12"/>
  <c r="D14" i="12"/>
  <c r="D15" i="12"/>
  <c r="D16" i="12"/>
  <c r="D11" i="12"/>
  <c r="E10" i="12"/>
  <c r="F10" i="12"/>
  <c r="G10" i="12"/>
  <c r="D10" i="12"/>
  <c r="D25" i="12"/>
  <c r="E25" i="12"/>
  <c r="F25" i="12"/>
  <c r="G25" i="12"/>
  <c r="O57" i="4"/>
  <c r="O58" i="4"/>
  <c r="O59" i="4"/>
  <c r="O60" i="4"/>
  <c r="O61" i="4"/>
  <c r="O62" i="4"/>
  <c r="O63" i="4"/>
  <c r="O56" i="4"/>
  <c r="O43" i="4"/>
  <c r="O44" i="4"/>
  <c r="O45" i="4"/>
  <c r="O46" i="4"/>
  <c r="O47" i="4"/>
  <c r="O48" i="4"/>
  <c r="O49" i="4"/>
  <c r="O50" i="4"/>
  <c r="O42" i="4"/>
  <c r="O24" i="4"/>
  <c r="O25" i="4"/>
  <c r="O26" i="4"/>
  <c r="O27" i="4"/>
  <c r="O28" i="4"/>
  <c r="O29" i="4"/>
  <c r="O30" i="4"/>
  <c r="O23" i="4"/>
  <c r="O10" i="4"/>
  <c r="O11" i="4"/>
  <c r="O12" i="4"/>
  <c r="O13" i="4"/>
  <c r="O14" i="4"/>
  <c r="O15" i="4"/>
  <c r="O16" i="4"/>
  <c r="O17" i="4"/>
  <c r="O9" i="4"/>
  <c r="G4" i="12" l="1"/>
  <c r="C14" i="6" l="1"/>
  <c r="N2" i="1" l="1"/>
  <c r="A5" i="10" l="1"/>
  <c r="A6" i="1"/>
  <c r="A6" i="6"/>
  <c r="E49" i="14" l="1"/>
  <c r="A2" i="14" l="1"/>
  <c r="C15" i="6" l="1"/>
  <c r="C15" i="1"/>
  <c r="K15" i="1"/>
  <c r="K14" i="1"/>
  <c r="H15" i="6"/>
  <c r="H14" i="6"/>
  <c r="I14" i="10"/>
  <c r="B8" i="10" l="1"/>
  <c r="A33" i="9" l="1"/>
  <c r="A3" i="9"/>
  <c r="A14" i="10"/>
  <c r="A14" i="6"/>
  <c r="A14" i="1"/>
  <c r="P19" i="3" l="1"/>
  <c r="O19" i="3"/>
  <c r="N19" i="3"/>
  <c r="M19" i="3"/>
  <c r="L19" i="3"/>
  <c r="K19" i="3"/>
  <c r="J19" i="3"/>
  <c r="I19" i="3"/>
  <c r="D19" i="3"/>
  <c r="P18" i="3"/>
  <c r="O18" i="3"/>
  <c r="N18" i="3"/>
  <c r="M18" i="3"/>
  <c r="L18" i="3"/>
  <c r="K18" i="3"/>
  <c r="J18" i="3"/>
  <c r="I18" i="3"/>
  <c r="D18" i="3"/>
  <c r="P9" i="3"/>
  <c r="O9" i="3"/>
  <c r="N9" i="3"/>
  <c r="M9" i="3"/>
  <c r="L9" i="3"/>
  <c r="K9" i="3"/>
  <c r="J9" i="3"/>
  <c r="I9" i="3"/>
  <c r="D9" i="3"/>
  <c r="T8" i="3"/>
  <c r="P8" i="3"/>
  <c r="O8" i="3"/>
  <c r="N8" i="3"/>
  <c r="M8" i="3"/>
  <c r="L8" i="3"/>
  <c r="K8" i="3"/>
  <c r="J8" i="3"/>
  <c r="I8" i="3"/>
  <c r="D8" i="3"/>
  <c r="T7" i="3"/>
  <c r="S6" i="3"/>
  <c r="E49" i="7"/>
  <c r="D49" i="7"/>
  <c r="H46" i="7"/>
  <c r="G46" i="7"/>
  <c r="F46" i="7"/>
  <c r="E46" i="7"/>
  <c r="D46" i="7"/>
  <c r="H45" i="7"/>
  <c r="G45" i="7"/>
  <c r="F45" i="7"/>
  <c r="H44" i="7"/>
  <c r="G44" i="7"/>
  <c r="F44" i="7"/>
  <c r="H42" i="7"/>
  <c r="G42" i="7"/>
  <c r="F42" i="7"/>
  <c r="H37" i="7"/>
  <c r="G37" i="7"/>
  <c r="F37" i="7"/>
  <c r="H34" i="7"/>
  <c r="G34" i="7"/>
  <c r="F34" i="7"/>
  <c r="H33" i="7"/>
  <c r="G33" i="7"/>
  <c r="F33" i="7"/>
  <c r="E33" i="7"/>
  <c r="D33" i="7"/>
  <c r="H32" i="7"/>
  <c r="G32" i="7"/>
  <c r="F32" i="7"/>
  <c r="E32" i="7"/>
  <c r="D32" i="7"/>
  <c r="H31" i="7"/>
  <c r="G31" i="7"/>
  <c r="F31" i="7"/>
  <c r="E31" i="7"/>
  <c r="D31" i="7"/>
  <c r="H30" i="7"/>
  <c r="G30" i="7"/>
  <c r="F30" i="7"/>
  <c r="E30" i="7"/>
  <c r="D30" i="7"/>
  <c r="H29" i="7"/>
  <c r="G29" i="7"/>
  <c r="F29" i="7"/>
  <c r="E29" i="7"/>
  <c r="D29" i="7"/>
  <c r="H28" i="7"/>
  <c r="G28" i="7"/>
  <c r="F28" i="7"/>
  <c r="E28" i="7"/>
  <c r="D28" i="7"/>
  <c r="H27" i="7"/>
  <c r="G27" i="7"/>
  <c r="F27" i="7"/>
  <c r="E27" i="7"/>
  <c r="D27" i="7"/>
  <c r="H26" i="7"/>
  <c r="G26" i="7"/>
  <c r="F26" i="7"/>
  <c r="E26" i="7"/>
  <c r="D26" i="7"/>
  <c r="H25" i="7"/>
  <c r="G25" i="7"/>
  <c r="F25" i="7"/>
  <c r="E25" i="7"/>
  <c r="D25" i="7"/>
  <c r="H24" i="7"/>
  <c r="G24" i="7"/>
  <c r="F24" i="7"/>
  <c r="E24" i="7"/>
  <c r="D24" i="7"/>
  <c r="H23" i="7"/>
  <c r="G23" i="7"/>
  <c r="F23" i="7"/>
  <c r="E23" i="7"/>
  <c r="D23" i="7"/>
  <c r="H22" i="7"/>
  <c r="G22" i="7"/>
  <c r="F22" i="7"/>
  <c r="E22" i="7"/>
  <c r="D22" i="7"/>
  <c r="G18" i="7"/>
  <c r="F18" i="7"/>
  <c r="D18" i="7"/>
  <c r="B17" i="7"/>
  <c r="G14" i="7"/>
  <c r="E14" i="7"/>
  <c r="B14" i="7"/>
  <c r="G13" i="7"/>
  <c r="G12" i="7"/>
  <c r="G11" i="7"/>
  <c r="G10" i="7"/>
  <c r="G9" i="7"/>
  <c r="G8" i="7"/>
  <c r="J8" i="12"/>
  <c r="J11" i="12" s="1"/>
  <c r="J7" i="12"/>
  <c r="A2" i="12"/>
  <c r="G33" i="11"/>
  <c r="F33" i="11"/>
  <c r="E33" i="11"/>
  <c r="D33" i="11"/>
  <c r="J9" i="11"/>
  <c r="J12" i="11" s="1"/>
  <c r="J8" i="11"/>
  <c r="J11" i="11" s="1"/>
  <c r="A2" i="11"/>
  <c r="A1" i="9"/>
  <c r="C63" i="4"/>
  <c r="C62" i="4"/>
  <c r="C61" i="4"/>
  <c r="C60" i="4"/>
  <c r="C59" i="4"/>
  <c r="C58" i="4"/>
  <c r="C57" i="4"/>
  <c r="C56" i="4"/>
  <c r="C50" i="4"/>
  <c r="C49" i="4"/>
  <c r="C48" i="4"/>
  <c r="C47" i="4"/>
  <c r="C46" i="4"/>
  <c r="C45" i="4"/>
  <c r="C44" i="4"/>
  <c r="C43" i="4"/>
  <c r="C42" i="4"/>
  <c r="C14" i="1"/>
  <c r="R43" i="10"/>
  <c r="R41" i="10"/>
  <c r="R40" i="10"/>
  <c r="AJ39" i="10"/>
  <c r="AJ38" i="10"/>
  <c r="AJ37" i="10"/>
  <c r="AJ36" i="10"/>
  <c r="AJ35" i="10"/>
  <c r="AJ34" i="10"/>
  <c r="AJ33" i="10"/>
  <c r="AJ32" i="10"/>
  <c r="AJ31" i="10"/>
  <c r="M22" i="10"/>
  <c r="A22" i="10"/>
  <c r="M15" i="10"/>
  <c r="I15" i="10"/>
  <c r="D3" i="10"/>
  <c r="V47" i="1"/>
  <c r="V46" i="1"/>
  <c r="V45" i="1"/>
  <c r="V44" i="1"/>
  <c r="V43" i="1"/>
  <c r="V42" i="1"/>
  <c r="AM41" i="1"/>
  <c r="V41" i="1"/>
  <c r="AM40" i="1"/>
  <c r="V40" i="1"/>
  <c r="AM39" i="1"/>
  <c r="AM38" i="1"/>
  <c r="U38" i="1"/>
  <c r="AM37" i="1"/>
  <c r="AM36" i="1"/>
  <c r="AM35" i="1"/>
  <c r="AM34" i="1"/>
  <c r="AM33" i="1"/>
  <c r="V23" i="1"/>
  <c r="V22" i="1"/>
  <c r="P22" i="1"/>
  <c r="A22" i="1"/>
  <c r="G15" i="1"/>
  <c r="I15" i="1" s="1"/>
  <c r="F15" i="1"/>
  <c r="H15" i="1" s="1"/>
  <c r="A15" i="1"/>
  <c r="G14" i="1"/>
  <c r="I14" i="1" s="1"/>
  <c r="F14" i="1"/>
  <c r="B10" i="1"/>
  <c r="D3" i="1"/>
  <c r="B16" i="7"/>
  <c r="R43" i="6"/>
  <c r="R42" i="6"/>
  <c r="R41" i="6"/>
  <c r="R40" i="6"/>
  <c r="R39" i="6"/>
  <c r="R38" i="6"/>
  <c r="R37" i="6"/>
  <c r="R36" i="6"/>
  <c r="R35" i="6"/>
  <c r="R25" i="6"/>
  <c r="Q25" i="6"/>
  <c r="M22" i="6"/>
  <c r="E15" i="6"/>
  <c r="F15" i="6" s="1"/>
  <c r="G15" i="6" s="1"/>
  <c r="I15" i="6" s="1"/>
  <c r="A15" i="6"/>
  <c r="E14" i="6"/>
  <c r="A12" i="6"/>
  <c r="A12" i="1" s="1"/>
  <c r="A12" i="10" s="1"/>
  <c r="B10" i="6"/>
  <c r="D3" i="6"/>
  <c r="J15" i="1" l="1"/>
  <c r="L15" i="1" s="1"/>
  <c r="A16" i="1"/>
  <c r="A16" i="6"/>
  <c r="R23" i="6"/>
  <c r="I18" i="11"/>
  <c r="D14" i="10" s="1"/>
  <c r="F14" i="6"/>
  <c r="G14" i="6" s="1"/>
  <c r="I14" i="6" s="1"/>
  <c r="J15" i="6" s="1"/>
  <c r="I17" i="12"/>
  <c r="D15" i="10" s="1"/>
  <c r="J10" i="12"/>
  <c r="I14" i="12" s="1"/>
  <c r="I15" i="11"/>
  <c r="F14" i="10" s="1"/>
  <c r="G14" i="10" s="1"/>
  <c r="V19" i="1"/>
  <c r="H14" i="1"/>
  <c r="J14" i="1" s="1"/>
  <c r="L14" i="1" s="1"/>
  <c r="M15" i="1" l="1"/>
  <c r="N15" i="1" s="1"/>
  <c r="H14" i="10"/>
  <c r="J14" i="10" s="1"/>
  <c r="A16" i="10" s="1"/>
  <c r="K15" i="6"/>
  <c r="L15" i="6"/>
  <c r="F15" i="10"/>
  <c r="G15" i="10" s="1"/>
  <c r="H15" i="10" s="1"/>
  <c r="J15" i="10" s="1"/>
  <c r="O15" i="1" l="1"/>
  <c r="P15" i="1" s="1"/>
  <c r="K15" i="10"/>
  <c r="L15" i="10" s="1"/>
  <c r="M14" i="10"/>
  <c r="M1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TEITGEN</author>
  </authors>
  <commentList>
    <comment ref="H1" authorId="0" shapeId="0" xr:uid="{BF80585E-7E39-4B39-B2E2-2902AD1F9729}">
      <text>
        <r>
          <rPr>
            <sz val="9"/>
            <color indexed="81"/>
            <rFont val="Tahoma"/>
            <family val="2"/>
          </rPr>
          <t>Si le tarif n'est pas réglementé, il convient de sélectionner "NON" et d'inscrire, ci-dessous, le montant de l'abonnement HT et le tarif Base HT indiqués sur la dernière facture.</t>
        </r>
      </text>
    </comment>
    <comment ref="H2" authorId="0" shapeId="0" xr:uid="{51E39543-D5C4-4681-BD4E-FBFDC48CDE73}">
      <text>
        <r>
          <rPr>
            <sz val="9"/>
            <color indexed="81"/>
            <rFont val="Tahoma"/>
            <family val="2"/>
          </rPr>
          <t>Si le tarif EDF n'est pas réglementé, le prix d l'abonnement Base se trouve sur la facture.</t>
        </r>
      </text>
    </comment>
    <comment ref="J2" authorId="0" shapeId="0" xr:uid="{F85EEB8A-88D8-405D-9BD9-72BA784B8F8D}">
      <text>
        <r>
          <rPr>
            <b/>
            <sz val="9"/>
            <color indexed="81"/>
            <rFont val="Tahoma"/>
            <family val="2"/>
          </rPr>
          <t>Christian TEITGEN:</t>
        </r>
        <r>
          <rPr>
            <sz val="9"/>
            <color indexed="81"/>
            <rFont val="Tahoma"/>
            <family val="2"/>
          </rPr>
          <t xml:space="preserve">
</t>
        </r>
      </text>
    </comment>
    <comment ref="H3" authorId="0" shapeId="0" xr:uid="{D37EFE1C-C25D-4F1A-9DC7-7B78B022BBDF}">
      <text>
        <r>
          <rPr>
            <sz val="9"/>
            <color indexed="81"/>
            <rFont val="Tahoma"/>
            <family val="2"/>
          </rPr>
          <t>Si le tarif EDF n'est pas réglementé, le prix du kWh Base se trouve sur la facture</t>
        </r>
        <r>
          <rPr>
            <b/>
            <sz val="9"/>
            <color indexed="81"/>
            <rFont val="Tahoma"/>
            <family val="2"/>
          </rPr>
          <t>.</t>
        </r>
      </text>
    </comment>
    <comment ref="P3" authorId="0" shapeId="0" xr:uid="{FE827762-88A3-4595-9416-54E57C381AA5}">
      <text>
        <r>
          <rPr>
            <sz val="9"/>
            <color indexed="81"/>
            <rFont val="Tahoma"/>
            <family val="2"/>
          </rPr>
          <t>Si le tarif EDF n'est pas réglementé, le prix du kWh HP se trouve sur la facture</t>
        </r>
        <r>
          <rPr>
            <b/>
            <sz val="9"/>
            <color indexed="81"/>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TEITGEN</author>
  </authors>
  <commentList>
    <comment ref="J1" authorId="0" shapeId="0" xr:uid="{DDABA961-F210-41F1-87D7-31DF00A39EDE}">
      <text>
        <r>
          <rPr>
            <sz val="9"/>
            <color indexed="81"/>
            <rFont val="Tahoma"/>
            <family val="2"/>
          </rPr>
          <t>Si le tarif EDF n'est pas réglementé, le prix de l'abonnement HT se trouve sur la facture.</t>
        </r>
      </text>
    </comment>
    <comment ref="J2" authorId="0" shapeId="0" xr:uid="{A725ACAE-15B8-4E5D-BA8F-347F694C5E80}">
      <text>
        <r>
          <rPr>
            <sz val="9"/>
            <color indexed="81"/>
            <rFont val="Tahoma"/>
            <family val="2"/>
          </rPr>
          <t>Si le tarif EDF n'est pas réglementé, le prix du kWh HP se trouve sur la facture.</t>
        </r>
      </text>
    </comment>
    <comment ref="N2" authorId="0" shapeId="0" xr:uid="{4C6D2723-3C9A-44F5-A84D-BEA7F34FB4A0}">
      <text>
        <r>
          <rPr>
            <sz val="9"/>
            <color indexed="81"/>
            <rFont val="Tahoma"/>
            <family val="2"/>
          </rPr>
          <t>Taxe sur la Conso Finale Electricité : Taxe Départementale sur la Conso Finale Electricité + Taxe Communale sur la Conso Finale Electricité.</t>
        </r>
      </text>
    </comment>
    <comment ref="O2" authorId="0" shapeId="0" xr:uid="{5A7AFB1E-28BD-4A69-BA95-3BA87272254A}">
      <text>
        <r>
          <rPr>
            <sz val="9"/>
            <color indexed="81"/>
            <rFont val="Tahoma"/>
            <family val="2"/>
          </rPr>
          <t>Contribution au Service Public de l'Electricité</t>
        </r>
      </text>
    </comment>
    <comment ref="P2" authorId="0" shapeId="0" xr:uid="{B93AE4DD-E008-459D-B2D8-DB5DBC8A6705}">
      <text>
        <r>
          <rPr>
            <sz val="9"/>
            <color indexed="81"/>
            <rFont val="Tahoma"/>
            <family val="2"/>
          </rPr>
          <t>Contribution Tarifaire d'Acheminement</t>
        </r>
      </text>
    </comment>
    <comment ref="F3" authorId="0" shapeId="0" xr:uid="{722AC6FD-013A-43AA-9391-D77967D4B84F}">
      <text>
        <r>
          <rPr>
            <sz val="9"/>
            <color indexed="81"/>
            <rFont val="Tahoma"/>
            <family val="2"/>
          </rPr>
          <t>OPTION TVA : 
TVA de 10 % sur les logements neufs ;
TVA de 20 % sur les autres logements.</t>
        </r>
      </text>
    </comment>
    <comment ref="H3" authorId="0" shapeId="0" xr:uid="{D28566C5-1149-4081-B10E-30282CB7E6C3}">
      <text>
        <r>
          <rPr>
            <sz val="9"/>
            <color indexed="81"/>
            <rFont val="Tahoma"/>
            <family val="2"/>
          </rPr>
          <t>Si le tarif n'est pas réglementé, il convient de sélectionner "NON" et d'inscrire, ci-contre, le montant de l'abonnement HT et les tarifs HP/HC HT indiqués sur la dernière facture.</t>
        </r>
      </text>
    </comment>
    <comment ref="J3" authorId="0" shapeId="0" xr:uid="{F98502BA-5D14-4ACA-8DEF-9B7CE3467E4C}">
      <text>
        <r>
          <rPr>
            <sz val="9"/>
            <color indexed="81"/>
            <rFont val="Tahoma"/>
            <family val="2"/>
          </rPr>
          <t>Si le tarif EDF n'est pas réglementé, le prix du kWh HC se trouve sur la facture.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TEITGEN</author>
  </authors>
  <commentList>
    <comment ref="H1" authorId="0" shapeId="0" xr:uid="{ABF66A9E-3601-4B32-91CA-1F9D4EE355B8}">
      <text>
        <r>
          <rPr>
            <sz val="9"/>
            <color indexed="81"/>
            <rFont val="Tahoma"/>
            <family val="2"/>
          </rPr>
          <t>Si le tarif n'est pas réglementé, il convient de sélectionner "NON" et d'inscrire, ci-dessous, les tarifs HP/HC indiqués sur la dernière facture.</t>
        </r>
      </text>
    </comment>
    <comment ref="H2" authorId="0" shapeId="0" xr:uid="{D5EF5A53-B39A-4360-991D-C08CE03E421E}">
      <text>
        <r>
          <rPr>
            <sz val="9"/>
            <color indexed="81"/>
            <rFont val="Tahoma"/>
            <family val="2"/>
          </rPr>
          <t>Si le tarif n'est pas réglementé, le prix de l'abonnement à appliquer se trouve sur la dernière facture</t>
        </r>
      </text>
    </comment>
    <comment ref="H3" authorId="0" shapeId="0" xr:uid="{B76F54C0-32A8-4499-A15B-0D62A813F299}">
      <text>
        <r>
          <rPr>
            <sz val="9"/>
            <color indexed="81"/>
            <rFont val="Tahoma"/>
            <family val="2"/>
          </rPr>
          <t>Si le tarif n'est pas réglementé, le prix du kWh à appliquer se trouve sur la dernière facture</t>
        </r>
        <r>
          <rPr>
            <b/>
            <sz val="9"/>
            <color indexed="81"/>
            <rFont val="Tahoma"/>
            <family val="2"/>
          </rPr>
          <t>.</t>
        </r>
      </text>
    </comment>
  </commentList>
</comments>
</file>

<file path=xl/sharedStrings.xml><?xml version="1.0" encoding="utf-8"?>
<sst xmlns="http://schemas.openxmlformats.org/spreadsheetml/2006/main" count="448" uniqueCount="247">
  <si>
    <t>Puissance souscrite</t>
  </si>
  <si>
    <t>Consommation en KWh</t>
  </si>
  <si>
    <t>Heures creuses</t>
  </si>
  <si>
    <t>Heures pleines</t>
  </si>
  <si>
    <t>Montant de la consommation HT en €</t>
  </si>
  <si>
    <t>Montant HT abonnement + consommation</t>
  </si>
  <si>
    <t>EDF</t>
  </si>
  <si>
    <t>Tarif KWh HT en €</t>
  </si>
  <si>
    <t>Tarif KWh TTC en €
(pour comparaison avec les autres fournisseurs)</t>
  </si>
  <si>
    <t>PRIX HT</t>
  </si>
  <si>
    <t>Prix de l'abonnement TTC en €</t>
  </si>
  <si>
    <t>Montant TTC abonnement + consommation</t>
  </si>
  <si>
    <t>cellule calculée en jaune</t>
  </si>
  <si>
    <t>Cellules blanches = Données d'entrée</t>
  </si>
  <si>
    <t>Energie - Tableau comparatif au 23/05/2019</t>
  </si>
  <si>
    <t>Energie - Tableau comparatif au 1er juin 2019 avec augmentation de 5,9 % d'EDF sur le tarif de la consommation HT</t>
  </si>
  <si>
    <t>IBERDROLA</t>
  </si>
  <si>
    <t>Economie TTC réalisée  sur 1 an en €</t>
  </si>
  <si>
    <t>Economie TTC réalisée par mois en €</t>
  </si>
  <si>
    <t>TVA</t>
  </si>
  <si>
    <t>Abonnement</t>
  </si>
  <si>
    <t>Consommation</t>
  </si>
  <si>
    <t xml:space="preserve">Conversion HT &lt;-&gt; TTC </t>
  </si>
  <si>
    <t>PRIX TTC
5,5 %</t>
  </si>
  <si>
    <t>PRIX TTC
20%</t>
  </si>
  <si>
    <t>Prix de l'abonnement annuel HT en €</t>
  </si>
  <si>
    <t>Puissance souscrite kVA</t>
  </si>
  <si>
    <t>Option base</t>
  </si>
  <si>
    <t>Tarif bleu EDF - option base pour les particuliers</t>
  </si>
  <si>
    <t>Option heures pleines heures creuses</t>
  </si>
  <si>
    <t>Tarif bleu EDF - option Heures pleines / Heures creuses pour les particuliers</t>
  </si>
  <si>
    <t>Option base pour les particuliers</t>
  </si>
  <si>
    <t>Economie TTC réalisée  sur 
1 an en €</t>
  </si>
  <si>
    <t>Puissance souscrite 
en kVA</t>
  </si>
  <si>
    <t>Logement neuf ?</t>
  </si>
  <si>
    <t>OUI</t>
  </si>
  <si>
    <t>NON</t>
  </si>
  <si>
    <t>TVA Abo</t>
  </si>
  <si>
    <t>Logement neuf</t>
  </si>
  <si>
    <t>TVA Conso Ancien</t>
  </si>
  <si>
    <t>TVA Conso Neuf</t>
  </si>
  <si>
    <t>Prix du kWh HT</t>
  </si>
  <si>
    <t>Heures Pleines HT</t>
  </si>
  <si>
    <t>Heures Creuses HT</t>
  </si>
  <si>
    <t>Abonnement mensuel HT</t>
  </si>
  <si>
    <t>Consommation annuelle en KWh</t>
  </si>
  <si>
    <t>Tarif du KWh 
HT en €</t>
  </si>
  <si>
    <t>Tarif consommation
KWh HT en €</t>
  </si>
  <si>
    <t>TAXES LOCALES ET
CONTRIBUTIONS</t>
  </si>
  <si>
    <t>Montant Facture
TTC</t>
  </si>
  <si>
    <t>Prix de l'abonnement annuel HT
en €</t>
  </si>
  <si>
    <t xml:space="preserve">Tarif KWh HT en €
</t>
  </si>
  <si>
    <t>Montant consommation
KWh HT en €</t>
  </si>
  <si>
    <t>ESTIMATION DE FACTURE D'ELECTRICITE (1)</t>
  </si>
  <si>
    <t>TTC</t>
  </si>
  <si>
    <t>HT</t>
  </si>
  <si>
    <t>HC</t>
  </si>
  <si>
    <t>HP</t>
  </si>
  <si>
    <t>TOTAL</t>
  </si>
  <si>
    <t>Tableau annuel des consommations (Factures Bimensuelles)</t>
  </si>
  <si>
    <t>Grilles tarifaires EDF</t>
  </si>
  <si>
    <t>Choix Contrat HP/HC</t>
  </si>
  <si>
    <t>Particulier</t>
  </si>
  <si>
    <t>Professionnel</t>
  </si>
  <si>
    <t>Tarif réglementé ?</t>
  </si>
  <si>
    <t>Question</t>
  </si>
  <si>
    <t>Tarif réglem/non réglem</t>
  </si>
  <si>
    <t>Prix</t>
  </si>
  <si>
    <t>Valeurs de la puissance pour l'option de base. Cette indirection a été mise en place pour une compatibilité avec les versions antérieures d'EXCEL.
La version utilisée par KLECK au 07/06/2019 est EXCEL 2007.</t>
  </si>
  <si>
    <t>Valeurs de la puissance pour l'option de base. Cette indirection a été mise en place pour une compatibilité avec les versions antérieures d'EXCEL 
La version utilisée par KLECK au 07/06/2019 est EXCEL 2007.</t>
  </si>
  <si>
    <t xml:space="preserve"> Estimation de facture d'électricité basée sur la consommation et les taxes locales et contributions figurant sur la dernière facture du fournisseur. </t>
  </si>
  <si>
    <t>(1)</t>
  </si>
  <si>
    <t xml:space="preserve"> Estimation de facture d'électricité basée sur le tarif actuel de l'abonnement et sur la consommation ainsi que les taxes locales et contributions figurant sur la dernière facture du fournisseur. </t>
  </si>
  <si>
    <t>(2)</t>
  </si>
  <si>
    <t>Edité le :</t>
  </si>
  <si>
    <t>Heures Creuses</t>
  </si>
  <si>
    <t>+</t>
  </si>
  <si>
    <t>-</t>
  </si>
  <si>
    <t xml:space="preserve">Périodicité CTA : </t>
  </si>
  <si>
    <t>Tarif bleu EDF - option base pour les entreprises</t>
  </si>
  <si>
    <t>Tarif bleu EDF - option Heures pleines / Heures creuses pour les entreprises</t>
  </si>
  <si>
    <t>Option base pour les entreprises</t>
  </si>
  <si>
    <t>MODE D'EMPLOI</t>
  </si>
  <si>
    <t>NATURE DU CONTRAT</t>
  </si>
  <si>
    <t>ë</t>
  </si>
  <si>
    <t>2.</t>
  </si>
  <si>
    <t>LOGEMENT NEUF</t>
  </si>
  <si>
    <t>TYPE DE CONTRAT</t>
  </si>
  <si>
    <t>TAXES ET CONTRIBUTIONS LOCALES</t>
  </si>
  <si>
    <t>PUISSANCE SOUSCRITE</t>
  </si>
  <si>
    <t>CONSOMMATION</t>
  </si>
  <si>
    <t>CALCUL DES DIVERS MONTANTS</t>
  </si>
  <si>
    <t>Validité :</t>
  </si>
  <si>
    <t>TOTAL HP+HC</t>
  </si>
  <si>
    <t>Proportion HP</t>
  </si>
  <si>
    <t>Proportion HC</t>
  </si>
  <si>
    <t>TOTAL Factures absentes (HP+HC)</t>
  </si>
  <si>
    <t>Données manquantes sf total (HP+HC)</t>
  </si>
  <si>
    <t>Données complètes</t>
  </si>
  <si>
    <t>Proportion sur données connues</t>
  </si>
  <si>
    <t>(3)</t>
  </si>
  <si>
    <t xml:space="preserve">Augmentation HC : </t>
  </si>
  <si>
    <t>Mensualité_1</t>
  </si>
  <si>
    <t>Mensualité_2</t>
  </si>
  <si>
    <t>Mensualité_3</t>
  </si>
  <si>
    <t>Mensualité_4</t>
  </si>
  <si>
    <t>Mensualité_5</t>
  </si>
  <si>
    <t>Mensualité_6</t>
  </si>
  <si>
    <t>Mensualité_7</t>
  </si>
  <si>
    <t>Mensualité_8</t>
  </si>
  <si>
    <t>Mensualité_9</t>
  </si>
  <si>
    <t>Mensualité_10</t>
  </si>
  <si>
    <t>Mensualité_11</t>
  </si>
  <si>
    <t>Mensualité_12</t>
  </si>
  <si>
    <t xml:space="preserve">Augmentation HP </t>
  </si>
  <si>
    <t xml:space="preserve">Augmentation BASE : </t>
  </si>
  <si>
    <t>% de réduction sur la facture</t>
  </si>
  <si>
    <t>Taxes et Contributions
HT (2)</t>
  </si>
  <si>
    <t>Application de la répartition moyenne des mensualités connues (jaune) sur les mensualités non connues (blanc)</t>
  </si>
  <si>
    <t>par mois</t>
  </si>
  <si>
    <t>Economie TTC réalisée :</t>
  </si>
  <si>
    <t>Economie TTC 
réalisée :</t>
  </si>
  <si>
    <t>OUTIL DE CALCUL</t>
  </si>
  <si>
    <t>NOM   Prénom</t>
  </si>
  <si>
    <t>Adresse</t>
  </si>
  <si>
    <t>Complément d'adresse</t>
  </si>
  <si>
    <t>Code Postal</t>
  </si>
  <si>
    <t>LOCALITE</t>
  </si>
  <si>
    <t>Option Heures pleines / Heures creuses pour les particuliers</t>
  </si>
  <si>
    <t>Option Heures pleines / Heures creuses pour les entreprises</t>
  </si>
  <si>
    <t>par an</t>
  </si>
  <si>
    <t>YG_Part_Base</t>
  </si>
  <si>
    <t>YG_Part_HPHC</t>
  </si>
  <si>
    <t>YG_Pro_Base</t>
  </si>
  <si>
    <t>YG_Pro_HPHC</t>
  </si>
  <si>
    <t>Les taxes locales et les contributions sont fixées par l'Etat et les collectivités. Les fournisseurs et revendeurs ne s'engagent que sur les montants HT de l'abonnement et de la consommation.</t>
  </si>
  <si>
    <t>Abonnement annuel HT</t>
  </si>
  <si>
    <t>TOTAL Direct Energie</t>
  </si>
  <si>
    <t>ESTIMATION DE FACTURE DE GAZ (2)</t>
  </si>
  <si>
    <t>CONTRAT :</t>
  </si>
  <si>
    <t>ZONE TARIFAIRE :</t>
  </si>
  <si>
    <t>TARIF</t>
  </si>
  <si>
    <t>ZONE</t>
  </si>
  <si>
    <t>Montant HT abonnement + consommation
(3)</t>
  </si>
  <si>
    <t>Taxes et Contributions
HT</t>
  </si>
  <si>
    <t>Pourcentage de réduction sur consommation</t>
  </si>
  <si>
    <t>Méga Energie</t>
  </si>
  <si>
    <t>Les taxes locales et les contributions étant fixées par l'Etat et les collectivités, le fournisseur ne s'engage que sur le montant HT de l'abonnement et de la consommation.</t>
  </si>
  <si>
    <t>Zone</t>
  </si>
  <si>
    <t>STANDARD</t>
  </si>
  <si>
    <t>AVEC REMISE</t>
  </si>
  <si>
    <t>Type de contrat</t>
  </si>
  <si>
    <t>TARIF HT</t>
  </si>
  <si>
    <t>Tarif</t>
  </si>
  <si>
    <t>Consommation/an</t>
  </si>
  <si>
    <t>X &lt;1 MWh</t>
  </si>
  <si>
    <t>1 MWh &lt; X &lt; 6 MWh</t>
  </si>
  <si>
    <t>6 MWh &lt; X &lt; 30MWh</t>
  </si>
  <si>
    <t>30 MWh &lt; X &lt; 300MWh</t>
  </si>
  <si>
    <t>Abonnement annuel</t>
  </si>
  <si>
    <t>Niveau de Prix
Zones GRD
en cents par kWh</t>
  </si>
  <si>
    <t>Colonne</t>
  </si>
  <si>
    <t>Ligne</t>
  </si>
  <si>
    <r>
      <t>La TICGN (</t>
    </r>
    <r>
      <rPr>
        <b/>
        <sz val="11"/>
        <color theme="1"/>
        <rFont val="Calibri"/>
        <family val="2"/>
        <scheme val="minor"/>
      </rPr>
      <t>T</t>
    </r>
    <r>
      <rPr>
        <sz val="11"/>
        <color theme="1"/>
        <rFont val="Calibri"/>
        <family val="2"/>
        <scheme val="minor"/>
      </rPr>
      <t xml:space="preserve">axe </t>
    </r>
    <r>
      <rPr>
        <b/>
        <sz val="11"/>
        <color theme="1"/>
        <rFont val="Calibri"/>
        <family val="2"/>
        <scheme val="minor"/>
      </rPr>
      <t>I</t>
    </r>
    <r>
      <rPr>
        <sz val="11"/>
        <color theme="1"/>
        <rFont val="Calibri"/>
        <family val="2"/>
        <scheme val="minor"/>
      </rPr>
      <t xml:space="preserve">ntérieure de </t>
    </r>
    <r>
      <rPr>
        <b/>
        <sz val="11"/>
        <color theme="1"/>
        <rFont val="Calibri"/>
        <family val="2"/>
        <scheme val="minor"/>
      </rPr>
      <t>C</t>
    </r>
    <r>
      <rPr>
        <sz val="11"/>
        <color theme="1"/>
        <rFont val="Calibri"/>
        <family val="2"/>
        <scheme val="minor"/>
      </rPr>
      <t xml:space="preserve">onsommation sur le </t>
    </r>
    <r>
      <rPr>
        <b/>
        <sz val="11"/>
        <color theme="1"/>
        <rFont val="Calibri"/>
        <family val="2"/>
        <scheme val="minor"/>
      </rPr>
      <t>G</t>
    </r>
    <r>
      <rPr>
        <sz val="11"/>
        <color theme="1"/>
        <rFont val="Calibri"/>
        <family val="2"/>
        <scheme val="minor"/>
      </rPr>
      <t xml:space="preserve">az </t>
    </r>
    <r>
      <rPr>
        <b/>
        <sz val="11"/>
        <color theme="1"/>
        <rFont val="Calibri"/>
        <family val="2"/>
        <scheme val="minor"/>
      </rPr>
      <t>N</t>
    </r>
    <r>
      <rPr>
        <sz val="11"/>
        <color theme="1"/>
        <rFont val="Calibri"/>
        <family val="2"/>
        <scheme val="minor"/>
      </rPr>
      <t>aturel) est collectée par les fournisseurs de gaz naturel auprès de leurs clients. En raison du gel de la composante carbone le taux de la TICGN reste inchangé à 8,45 euros le mégawattheure à partir du 1er janvier 2019.</t>
    </r>
  </si>
  <si>
    <t>PARTICULIER</t>
  </si>
  <si>
    <t xml:space="preserve">Estimation de facture de gaz basée sur la consommation et les taxes locales et contributions figurant sur la dernière facture du fournisseur. </t>
  </si>
  <si>
    <t>Abonnement mensuel</t>
  </si>
  <si>
    <t>En extinction : Plus proposés par EDF en option BASE</t>
  </si>
  <si>
    <t>Type de CONTRAT
(3)</t>
  </si>
  <si>
    <t>Les tarifs "Non résidentiels", c'est-à-dire professionnels, ne sont pas concernés par cette offre. L'option n'est cependant pas désactivée.</t>
  </si>
  <si>
    <t>Si vous occupez un logement neuf, pour lequel une TVA de 10% (1) est appliquée, cliquez sur le triangle noir, en bas à droite de la case blanche et sélectionnez l'option "OUI".
Dans les autres cas, laissez l'option "NON".
(1) Vérifiez la TVA appliquée sur votre facture EDF (10 ou 20 %).</t>
  </si>
  <si>
    <t>Heures Pleines - Heures Creuses</t>
  </si>
  <si>
    <t>Base</t>
  </si>
  <si>
    <t>ou</t>
  </si>
  <si>
    <t>MONTANT FACTURE TTC</t>
  </si>
  <si>
    <t>Economie réalisée sur les montants TTC sur 1 an et par mois.</t>
  </si>
  <si>
    <t>6 MWh &lt; X &lt; 30 MWh</t>
  </si>
  <si>
    <t>30 MWh &lt; X &lt; 300 MWh</t>
  </si>
  <si>
    <t>X &lt; 1 MWh</t>
  </si>
  <si>
    <t>BASE (&lt; 1 MWh)</t>
  </si>
  <si>
    <t>B0 (&lt; 6 MWh)</t>
  </si>
  <si>
    <t>B1 (&lt; 30 MWh)</t>
  </si>
  <si>
    <t>B2i (&lt; 300 MWh)</t>
  </si>
  <si>
    <t>Pour connaître la zone tarifaire de votre domicile, cliquez ICI</t>
  </si>
  <si>
    <r>
      <t xml:space="preserve">Le feuillet "Mode d'emploi" vous guide dans l'utilisation de ce calculateur pour l'offre DUO Gaz + Electricité.
Pour l'électricité, il vous faut sélectionner le feuillet bleu </t>
    </r>
    <r>
      <rPr>
        <b/>
        <sz val="11"/>
        <color theme="1"/>
        <rFont val="Calibri"/>
        <family val="2"/>
        <scheme val="minor"/>
      </rPr>
      <t>1a</t>
    </r>
    <r>
      <rPr>
        <sz val="11"/>
        <color theme="1"/>
        <rFont val="Calibri"/>
        <family val="2"/>
        <scheme val="minor"/>
      </rPr>
      <t xml:space="preserve"> ou </t>
    </r>
    <r>
      <rPr>
        <b/>
        <sz val="11"/>
        <color theme="1"/>
        <rFont val="Calibri"/>
        <family val="2"/>
        <scheme val="minor"/>
      </rPr>
      <t>1b</t>
    </r>
    <r>
      <rPr>
        <sz val="11"/>
        <color theme="1"/>
        <rFont val="Calibri"/>
        <family val="2"/>
        <scheme val="minor"/>
      </rPr>
      <t xml:space="preserve"> : </t>
    </r>
  </si>
  <si>
    <t>Pour le gaz, il vous faut sélectionner le feuillet rose 2_Gaz_Comparatif.</t>
  </si>
  <si>
    <t>Dans le cas contraire, sélectionnez "NON". Dès lors, quel que soit votre fournisseur d'électricité, il est indispensable de saisir les tarifs figurant sur la dernière facture dans les cases ci-contre :
- Abonnement en €/an ;
- Tarif Heures Pleines en €/Kwh ;
- Tarif Heures Creuses en €/Kwh</t>
  </si>
  <si>
    <t>Cliquez sur la flèche noire qui s'affichera lorsque vous cliquerez sur cette cellule. Il vous sera possible de sélectionner la puissance souscrite auprès de votre fournisseur actuel. Cette dernière figure sur votre facture.</t>
  </si>
  <si>
    <t xml:space="preserve">Pour coller le plus près possible à votre consommation personnelle, saisissez à présent les dernières consommations annuelles :
- "Heures Pleines" et "Heures Creuses" ;
- ou "Base".
</t>
  </si>
  <si>
    <t xml:space="preserve">Ci-dessus les tarifs de la consommation HT et du cumul HT abonnement et consommation.
Les montants de la ligne supérieure sont ceux d'EDF ou du fournisseur alternatif.
Les montants de la ligne du bas sont ceux de MEGA ENERGIE.
  - Montant des consommations HT en heures pleines et en heures creuses (ou Base) ;
  - Montant de l'abonnement et des consommations HT ;
</t>
  </si>
  <si>
    <r>
      <t xml:space="preserve">- </t>
    </r>
    <r>
      <rPr>
        <b/>
        <sz val="11"/>
        <color theme="1"/>
        <rFont val="Calibri"/>
        <family val="2"/>
        <scheme val="minor"/>
      </rPr>
      <t>1a - BASE</t>
    </r>
    <r>
      <rPr>
        <sz val="11"/>
        <color theme="1"/>
        <rFont val="Calibri"/>
        <family val="2"/>
        <scheme val="minor"/>
      </rPr>
      <t xml:space="preserve"> : Vous bénéficiez d'un tarif identique quelle que soit tout au long de la journée ;</t>
    </r>
  </si>
  <si>
    <t>1.</t>
  </si>
  <si>
    <t>ELECTRICITE</t>
  </si>
  <si>
    <t>GAZ</t>
  </si>
  <si>
    <t xml:space="preserve">Le fonctionnement de cette feuille de calcul du tarif du gaz ne diffère guère de celles pour le calcul du tarif de l'électricité.
Aussi, voici les explications sur les seules différences. </t>
  </si>
  <si>
    <t>1. 1.</t>
  </si>
  <si>
    <t>1.2.</t>
  </si>
  <si>
    <t>1.3.</t>
  </si>
  <si>
    <t>1.4.</t>
  </si>
  <si>
    <t>1.5.</t>
  </si>
  <si>
    <t>1.6.</t>
  </si>
  <si>
    <t>1.7.</t>
  </si>
  <si>
    <t>1.8.</t>
  </si>
  <si>
    <t>1.9.</t>
  </si>
  <si>
    <t>1.10.</t>
  </si>
  <si>
    <t>1.11.</t>
  </si>
  <si>
    <t>1.12.</t>
  </si>
  <si>
    <t>CODE TARIF DU GAZ</t>
  </si>
  <si>
    <r>
      <rPr>
        <b/>
        <sz val="11"/>
        <color theme="1"/>
        <rFont val="Calibri"/>
        <family val="2"/>
        <scheme val="minor"/>
      </rPr>
      <t>Tarif lié à la puissance souscrite.</t>
    </r>
    <r>
      <rPr>
        <sz val="11"/>
        <color theme="1"/>
        <rFont val="Calibri"/>
        <family val="2"/>
        <scheme val="minor"/>
      </rPr>
      <t xml:space="preserve">
Il existe 4 tarifs, dépendant de la puissance souscrite. La sélection de celle cellule fait apparaître une flèche permettant la sélection de l'un d'entre eux.
Les codes tarifaires sont consultables sur les feuilles "GDF" et "MégaEnergie-Gaz".
Sélectionnez le code tarif figurant sur votre facture gaz.</t>
    </r>
  </si>
  <si>
    <t>Lien siglé T-GAS vers le partenaire HELLO WATT :</t>
  </si>
  <si>
    <t>Voilà les seules différences de cette feuille de calcul du tarif gaz par rapport aux feuilles de calcul du tarif de l'électricité.</t>
  </si>
  <si>
    <r>
      <t xml:space="preserve">- </t>
    </r>
    <r>
      <rPr>
        <b/>
        <sz val="11"/>
        <color theme="1"/>
        <rFont val="Calibri"/>
        <family val="2"/>
        <scheme val="minor"/>
      </rPr>
      <t>1b - HP/HC</t>
    </r>
    <r>
      <rPr>
        <sz val="11"/>
        <color theme="1"/>
        <rFont val="Calibri"/>
        <family val="2"/>
        <scheme val="minor"/>
      </rPr>
      <t xml:space="preserve"> : Vous bénéficiez de 2 tarifs par jour. "Heures Creuses" durant 8h00 par jour, réparties selon votre contrat actuel, et "Heures Pleines" le reste du temps. 
</t>
    </r>
    <r>
      <rPr>
        <sz val="11"/>
        <color rgb="FFFF0000"/>
        <rFont val="Calibri"/>
        <family val="2"/>
        <scheme val="minor"/>
      </rPr>
      <t>La répartition HP/HC ne sera pas modifiée en changeant de fournisseur car c'est ENEDIS qui l'a attribuée à la création du contrat.</t>
    </r>
  </si>
  <si>
    <t xml:space="preserve">Saisissez ensuite les taxes locales et les contributions indiquées sur la facture d'électricité de votre fournisseur :
</t>
  </si>
  <si>
    <t xml:space="preserve">Et oui, vous avez bien lu ! Une taxe (la TCFE) est taxée (application de la TVA)... </t>
  </si>
  <si>
    <r>
      <t xml:space="preserve">- La </t>
    </r>
    <r>
      <rPr>
        <b/>
        <sz val="11"/>
        <color theme="1"/>
        <rFont val="Calibri"/>
        <family val="2"/>
        <scheme val="minor"/>
      </rPr>
      <t>TCFE</t>
    </r>
    <r>
      <rPr>
        <sz val="11"/>
        <color theme="1"/>
        <rFont val="Calibri"/>
        <family val="2"/>
        <scheme val="minor"/>
      </rPr>
      <t xml:space="preserve"> (Taxe sur la Consommation Finale d'Electricité) est le regroupemment de deux taxes : la TDCFE et la TCCFE (Taxe départementale et communale sur la Consommation Finale d'Electricité). Si votre facture fait mention de ces deux taxes, il convient d'inscrire leur somme dans la case de gauche. La TVA appliquée est de 20 %. 
- La </t>
    </r>
    <r>
      <rPr>
        <b/>
        <sz val="11"/>
        <color theme="1"/>
        <rFont val="Calibri"/>
        <family val="2"/>
        <scheme val="minor"/>
      </rPr>
      <t>CSPE</t>
    </r>
    <r>
      <rPr>
        <sz val="11"/>
        <color theme="1"/>
        <rFont val="Calibri"/>
        <family val="2"/>
        <scheme val="minor"/>
      </rPr>
      <t xml:space="preserve"> (Contribution au Service Public d'Electricité) est fixée par la Direction des douanes. Elle est de 0,02250 €/kWh depuis le 01/01/2019. La TVA appliquée est de 20 %.
- La </t>
    </r>
    <r>
      <rPr>
        <b/>
        <sz val="11"/>
        <color theme="1"/>
        <rFont val="Calibri"/>
        <family val="2"/>
        <scheme val="minor"/>
      </rPr>
      <t>CTA</t>
    </r>
    <r>
      <rPr>
        <sz val="11"/>
        <color theme="1"/>
        <rFont val="Calibri"/>
        <family val="2"/>
        <scheme val="minor"/>
      </rPr>
      <t xml:space="preserve"> (Contribution Technique d'Acheminement) est liée à l'éloignement par rapport au distributeur. Elle ne dépend pas de la consommation.  La TVA appliquée est de 5 %.
</t>
    </r>
  </si>
  <si>
    <t>MONTANT DES TAXES LOCALES ET CONTRIBUTIONS</t>
  </si>
  <si>
    <t>Montant HT des Taxes locales et contributions pour l'entretien du réseau.
Les montants de la TCFE et de la CSPE sont additionnés et multipliés par la consommation totale (base ou HP et HC).
Ce montant est indépendant du fournisseur.</t>
  </si>
  <si>
    <t xml:space="preserve">Pourcentages de réduction sur le montant total de la facture en montants HT et TTC :
- Une valeur positive indique que MEGA ENERGIE est moins cher.
- Une valeur négative indique que le fournisseur alternatif est moins cher (EDF sera toujours plus cher du fait des valeurs dans les grilles tarifaires sur les deux dernières feuilles).  </t>
  </si>
  <si>
    <t>POURCENTAGES DE REDUCTION</t>
  </si>
  <si>
    <t>ECONOMIE REALISEE</t>
  </si>
  <si>
    <r>
      <t xml:space="preserve">Saisissez  les taxes locales et les contributions indiquées sur la facture d'électricité de votre fournisseur :
-La </t>
    </r>
    <r>
      <rPr>
        <b/>
        <sz val="11"/>
        <color theme="1"/>
        <rFont val="Calibri"/>
        <family val="2"/>
        <scheme val="minor"/>
      </rPr>
      <t>TICGN</t>
    </r>
    <r>
      <rPr>
        <sz val="11"/>
        <color theme="1"/>
        <rFont val="Calibri"/>
        <family val="2"/>
        <scheme val="minor"/>
      </rPr>
      <t xml:space="preserve"> (Taxe Intérieure de Consommation sur le Gaz Naturel) est collectée par les fournisseurs de gaz naturel auprès de leurs clients. Elle est indiquée sur vos factures actuelles.
La TVA appliquée est de 20 %. 
- La CTA est une contribution Technique d'Acheminement, liée à l'éloignement par rapport au distributeur. Elle ne dépend pas de la consommation.
La TVA appliquée est de 5 %. </t>
    </r>
  </si>
  <si>
    <t>ZONE TARIFAIRE</t>
  </si>
  <si>
    <t xml:space="preserve">Il existe 6 zones en fonction des coûts de transport et des charges pour le gestionnaire du réseau. 
Les foyers consommant moins de 6 000 kWh de gaz naturel (Base et B0) ont un tarif identique quelle que soit leur zone géographique.
Pour les consommations supérieures à 6 000 kWh de gaz naturel (B1 et B2i), il convient de rechercher sa zone tarifaire, qui ne figure pas sur la facture, à l'aide du lien sur l'onglet "2_Gaz_Comparatif" et la sélectionner dans la case .
</t>
  </si>
  <si>
    <r>
      <t xml:space="preserve">Si vous rencontrez une difficulté dans l'utilisation du comparateur ou si vous souhaitez obtenir la dernière version, merci d'adresser un courriel à : </t>
    </r>
    <r>
      <rPr>
        <u/>
        <sz val="11"/>
        <color rgb="FF3366FF"/>
        <rFont val="Calibri"/>
        <family val="2"/>
        <scheme val="minor"/>
      </rPr>
      <t>christian.teitgen@t-gas.fr</t>
    </r>
  </si>
  <si>
    <t>Abonnement 
HT en €/an :</t>
  </si>
  <si>
    <t>Tarif Conso 
HT en €/kWh :</t>
  </si>
  <si>
    <t>TICGN (1)
HT en €/kWh</t>
  </si>
  <si>
    <t>Tarif HP 
HT en €/kWh :</t>
  </si>
  <si>
    <t>Tarif HC 
HT en €/kWh :</t>
  </si>
  <si>
    <t>CSPE 
HT en €/kWh</t>
  </si>
  <si>
    <t>TCFE 
HT en €/kWh</t>
  </si>
  <si>
    <t>Tarif Base 
HT en €/kWh :</t>
  </si>
  <si>
    <t>CTA 
HT en €/an</t>
  </si>
  <si>
    <t>OFFRE "TARIF BLEU ENTREPRISES" au 02/07/2020</t>
  </si>
  <si>
    <t>ENGIE</t>
  </si>
  <si>
    <r>
      <rPr>
        <sz val="11"/>
        <color theme="1"/>
        <rFont val="Calibri"/>
        <family val="2"/>
      </rPr>
      <t xml:space="preserve">©T-GAS - </t>
    </r>
    <r>
      <rPr>
        <sz val="11"/>
        <color theme="1"/>
        <rFont val="Calibri"/>
        <family val="2"/>
        <scheme val="minor"/>
      </rPr>
      <t>V1.5 du 07/03/2021</t>
    </r>
  </si>
  <si>
    <t>MARS 2021</t>
  </si>
  <si>
    <t>OFFRE "TARIF BLEU" particuliers au 01/03/2021</t>
  </si>
  <si>
    <t>NOM Prénom</t>
  </si>
  <si>
    <t>N° - Adresse</t>
  </si>
  <si>
    <t>CP</t>
  </si>
  <si>
    <t>Complément d'adrresse</t>
  </si>
  <si>
    <t>NOM - Prénom</t>
  </si>
  <si>
    <r>
      <t xml:space="preserve">Sélectionnez le type de contrat :  "Professionnel" ou "Particulier"
Le contrat actuel Méga Energie ne concerne </t>
    </r>
    <r>
      <rPr>
        <sz val="11"/>
        <rFont val="Calibri"/>
        <family val="2"/>
        <scheme val="minor"/>
      </rPr>
      <t>pas les tarifs "Non résidentiels" (professionnels)". Cependant, cette option est maintenue pour toute évolution future du logiciel.</t>
    </r>
  </si>
  <si>
    <t xml:space="preserve">SI vous bénéficiez, comme la plupart des clients EDF, d'un tarif réglementé, choisissez l'option "OUI" et ne remplissez pas les 3 cellules blanches situées à droite ou sous cette option. Même remplies, ces valeurs ne seront prises en compte que si l'option est "NON". Dans le cas contraire, le programme puisera dans les données de la grille tarifaire sur la feuille "EDF". 
</t>
  </si>
  <si>
    <t>https://www.hellowatt.fr/achats-groupes/energie-classique/resultats/?utm_source=t-gas&amp;utm_medium=partner&amp;utm_campaign=ag-2021w</t>
  </si>
  <si>
    <t>OUTIL de calcul - Estimation comparative Electricité &amp; Gaz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</si>
</sst>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
    <numFmt numFmtId="165" formatCode="#,##0.000000\ &quot;€&quot;"/>
    <numFmt numFmtId="166" formatCode="0.000000"/>
    <numFmt numFmtId="167" formatCode="0.00000"/>
    <numFmt numFmtId="168" formatCode="00000"/>
    <numFmt numFmtId="169" formatCode="_-* #,##0.00\ _€_-;\-* #,##0.00\ _€_-;_-* &quot;-&quot;??\ _€_-;_-@_-"/>
    <numFmt numFmtId="170" formatCode="0.00000000"/>
  </numFmts>
  <fonts count="4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28"/>
      <color theme="1"/>
      <name val="Calibri"/>
      <family val="2"/>
      <scheme val="minor"/>
    </font>
    <font>
      <b/>
      <sz val="14"/>
      <name val="Calibri"/>
      <family val="2"/>
      <scheme val="minor"/>
    </font>
    <font>
      <sz val="24"/>
      <color theme="1"/>
      <name val="Calibri"/>
      <family val="2"/>
      <scheme val="minor"/>
    </font>
    <font>
      <i/>
      <sz val="11"/>
      <color theme="1"/>
      <name val="Calibri"/>
      <family val="2"/>
      <scheme val="minor"/>
    </font>
    <font>
      <sz val="12"/>
      <color theme="1"/>
      <name val="Calibri"/>
      <family val="2"/>
      <scheme val="minor"/>
    </font>
    <font>
      <b/>
      <sz val="11"/>
      <name val="Calibri"/>
      <family val="2"/>
      <scheme val="minor"/>
    </font>
    <font>
      <i/>
      <sz val="11"/>
      <color rgb="FFFF0000"/>
      <name val="Calibri"/>
      <family val="2"/>
      <scheme val="minor"/>
    </font>
    <font>
      <sz val="26"/>
      <color theme="1"/>
      <name val="Calibri"/>
      <family val="2"/>
      <scheme val="minor"/>
    </font>
    <font>
      <b/>
      <sz val="18"/>
      <color theme="0"/>
      <name val="Calibri"/>
      <family val="2"/>
      <scheme val="minor"/>
    </font>
    <font>
      <b/>
      <sz val="12"/>
      <color rgb="FF0066FF"/>
      <name val="Calibri"/>
      <family val="2"/>
      <scheme val="minor"/>
    </font>
    <font>
      <sz val="9"/>
      <color indexed="81"/>
      <name val="Tahoma"/>
      <family val="2"/>
    </font>
    <font>
      <b/>
      <sz val="9"/>
      <color indexed="81"/>
      <name val="Tahoma"/>
      <family val="2"/>
    </font>
    <font>
      <b/>
      <sz val="11"/>
      <color rgb="FF0066FF"/>
      <name val="Calibri"/>
      <family val="2"/>
      <scheme val="minor"/>
    </font>
    <font>
      <b/>
      <sz val="16"/>
      <color theme="1"/>
      <name val="Calibri"/>
      <family val="2"/>
      <scheme val="minor"/>
    </font>
    <font>
      <b/>
      <sz val="12"/>
      <color theme="1"/>
      <name val="Wingdings"/>
      <charset val="2"/>
    </font>
    <font>
      <b/>
      <sz val="12"/>
      <color rgb="FF00B050"/>
      <name val="Calibri"/>
      <family val="2"/>
      <scheme val="minor"/>
    </font>
    <font>
      <sz val="10"/>
      <color theme="1"/>
      <name val="Franklin Gothic Book"/>
      <family val="2"/>
    </font>
    <font>
      <b/>
      <sz val="15"/>
      <color theme="3"/>
      <name val="Franklin Gothic Book"/>
      <family val="2"/>
    </font>
    <font>
      <b/>
      <sz val="13"/>
      <color theme="3"/>
      <name val="Franklin Gothic Book"/>
      <family val="2"/>
    </font>
    <font>
      <sz val="8"/>
      <name val="Calibri"/>
      <family val="2"/>
      <scheme val="minor"/>
    </font>
    <font>
      <sz val="12"/>
      <color rgb="FFFF0000"/>
      <name val="Calibri"/>
      <family val="2"/>
      <scheme val="minor"/>
    </font>
    <font>
      <u/>
      <sz val="11"/>
      <color theme="10"/>
      <name val="Calibri"/>
      <family val="2"/>
      <scheme val="minor"/>
    </font>
    <font>
      <sz val="11"/>
      <name val="Calibri"/>
      <family val="2"/>
      <scheme val="minor"/>
    </font>
    <font>
      <b/>
      <sz val="11"/>
      <color rgb="FF0070C0"/>
      <name val="Calibri"/>
      <family val="2"/>
      <scheme val="minor"/>
    </font>
    <font>
      <sz val="22"/>
      <color theme="1"/>
      <name val="Calibri"/>
      <family val="2"/>
      <scheme val="minor"/>
    </font>
    <font>
      <sz val="11"/>
      <color theme="1"/>
      <name val="Calibri"/>
      <family val="2"/>
    </font>
    <font>
      <sz val="11"/>
      <color rgb="FFFF0000"/>
      <name val="Calibri"/>
      <family val="2"/>
      <scheme val="minor"/>
    </font>
    <font>
      <b/>
      <sz val="14"/>
      <color rgb="FF0066FF"/>
      <name val="Calibri"/>
      <family val="2"/>
      <scheme val="minor"/>
    </font>
    <font>
      <b/>
      <sz val="14"/>
      <color rgb="FFFF33CC"/>
      <name val="Calibri"/>
      <family val="2"/>
      <scheme val="minor"/>
    </font>
    <font>
      <b/>
      <sz val="11"/>
      <color rgb="FFFF33CC"/>
      <name val="Calibri"/>
      <family val="2"/>
      <scheme val="minor"/>
    </font>
    <font>
      <u/>
      <sz val="11"/>
      <color rgb="FF3366FF"/>
      <name val="Calibri"/>
      <family val="2"/>
      <scheme val="minor"/>
    </font>
    <font>
      <b/>
      <sz val="11"/>
      <color rgb="FF3366FF"/>
      <name val="Calibri"/>
      <family val="2"/>
      <scheme val="minor"/>
    </font>
    <font>
      <b/>
      <sz val="14"/>
      <color theme="0"/>
      <name val="Calibri"/>
      <family val="2"/>
      <scheme val="minor"/>
    </font>
    <font>
      <b/>
      <sz val="13"/>
      <name val="Calibri"/>
      <family val="2"/>
      <scheme val="minor"/>
    </font>
    <font>
      <b/>
      <sz val="13"/>
      <color theme="1"/>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6600"/>
        <bgColor indexed="64"/>
      </patternFill>
    </fill>
    <fill>
      <patternFill patternType="solid">
        <fgColor rgb="FF9BC2E6"/>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00FFFF"/>
        <bgColor indexed="64"/>
      </patternFill>
    </fill>
    <fill>
      <patternFill patternType="solid">
        <fgColor rgb="FF00FF99"/>
        <bgColor indexed="64"/>
      </patternFill>
    </fill>
    <fill>
      <patternFill patternType="solid">
        <fgColor rgb="FFCCFFCC"/>
        <bgColor indexed="64"/>
      </patternFill>
    </fill>
    <fill>
      <patternFill patternType="solid">
        <fgColor rgb="FF00B050"/>
        <bgColor indexed="64"/>
      </patternFill>
    </fill>
    <fill>
      <patternFill patternType="solid">
        <fgColor rgb="FF0066FF"/>
        <bgColor indexed="64"/>
      </patternFill>
    </fill>
    <fill>
      <patternFill patternType="solid">
        <fgColor rgb="FF66CCFF"/>
        <bgColor indexed="64"/>
      </patternFill>
    </fill>
    <fill>
      <patternFill patternType="solid">
        <fgColor theme="8" tint="0.79998168889431442"/>
        <bgColor indexed="64"/>
      </patternFill>
    </fill>
    <fill>
      <patternFill patternType="solid">
        <fgColor rgb="FFC6E0B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s>
  <borders count="1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style="medium">
        <color indexed="64"/>
      </right>
      <top style="medium">
        <color indexed="64"/>
      </top>
      <bottom/>
      <diagonal/>
    </border>
    <border>
      <left style="medium">
        <color rgb="FF00B050"/>
      </left>
      <right style="medium">
        <color indexed="64"/>
      </right>
      <top/>
      <bottom/>
      <diagonal/>
    </border>
    <border>
      <left/>
      <right style="medium">
        <color rgb="FF00B050"/>
      </right>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medium">
        <color indexed="64"/>
      </right>
      <top/>
      <bottom style="medium">
        <color rgb="FF00B050"/>
      </bottom>
      <diagonal/>
    </border>
    <border>
      <left style="thin">
        <color indexed="64"/>
      </left>
      <right style="thin">
        <color indexed="64"/>
      </right>
      <top style="thin">
        <color indexed="64"/>
      </top>
      <bottom style="medium">
        <color rgb="FF00B05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style="medium">
        <color indexed="64"/>
      </right>
      <top style="medium">
        <color indexed="64"/>
      </top>
      <bottom/>
      <diagonal/>
    </border>
    <border>
      <left style="medium">
        <color rgb="FF0070C0"/>
      </left>
      <right style="medium">
        <color indexed="64"/>
      </right>
      <top/>
      <bottom/>
      <diagonal/>
    </border>
    <border>
      <left/>
      <right style="medium">
        <color rgb="FF0070C0"/>
      </right>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medium">
        <color indexed="64"/>
      </right>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diagonal/>
    </border>
    <border>
      <left style="medium">
        <color rgb="FF0066FF"/>
      </left>
      <right style="medium">
        <color indexed="64"/>
      </right>
      <top style="medium">
        <color indexed="64"/>
      </top>
      <bottom/>
      <diagonal/>
    </border>
    <border>
      <left style="medium">
        <color rgb="FF0066FF"/>
      </left>
      <right style="medium">
        <color indexed="64"/>
      </right>
      <top/>
      <bottom/>
      <diagonal/>
    </border>
    <border>
      <left/>
      <right style="medium">
        <color rgb="FF0066FF"/>
      </right>
      <top/>
      <bottom style="thin">
        <color indexed="64"/>
      </bottom>
      <diagonal/>
    </border>
    <border>
      <left style="thin">
        <color indexed="64"/>
      </left>
      <right style="medium">
        <color rgb="FF0066FF"/>
      </right>
      <top style="thin">
        <color indexed="64"/>
      </top>
      <bottom style="thin">
        <color indexed="64"/>
      </bottom>
      <diagonal/>
    </border>
    <border>
      <left style="medium">
        <color rgb="FF0066FF"/>
      </left>
      <right style="medium">
        <color indexed="64"/>
      </right>
      <top/>
      <bottom style="medium">
        <color rgb="FF0066FF"/>
      </bottom>
      <diagonal/>
    </border>
    <border>
      <left/>
      <right style="thin">
        <color indexed="64"/>
      </right>
      <top style="thin">
        <color indexed="64"/>
      </top>
      <bottom style="medium">
        <color rgb="FF0066FF"/>
      </bottom>
      <diagonal/>
    </border>
    <border>
      <left style="thin">
        <color indexed="64"/>
      </left>
      <right style="thin">
        <color indexed="64"/>
      </right>
      <top style="thin">
        <color indexed="64"/>
      </top>
      <bottom style="medium">
        <color rgb="FF0066FF"/>
      </bottom>
      <diagonal/>
    </border>
    <border>
      <left style="thin">
        <color indexed="64"/>
      </left>
      <right style="medium">
        <color rgb="FF0066FF"/>
      </right>
      <top style="thin">
        <color indexed="64"/>
      </top>
      <bottom style="medium">
        <color rgb="FF0066FF"/>
      </bottom>
      <diagonal/>
    </border>
    <border>
      <left/>
      <right style="thin">
        <color indexed="64"/>
      </right>
      <top style="thin">
        <color indexed="64"/>
      </top>
      <bottom style="medium">
        <color rgb="FF0070C0"/>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rgb="FF00B050"/>
      </bottom>
      <diagonal/>
    </border>
    <border>
      <left/>
      <right style="medium">
        <color indexed="64"/>
      </right>
      <top style="medium">
        <color indexed="64"/>
      </top>
      <bottom style="thin">
        <color indexed="64"/>
      </bottom>
      <diagonal/>
    </border>
    <border>
      <left/>
      <right/>
      <top/>
      <bottom style="medium">
        <color rgb="FF0066FF"/>
      </bottom>
      <diagonal/>
    </border>
    <border>
      <left/>
      <right/>
      <top/>
      <bottom style="medium">
        <color rgb="FF3366FF"/>
      </bottom>
      <diagonal/>
    </border>
    <border>
      <left/>
      <right/>
      <top/>
      <bottom style="medium">
        <color rgb="FFFF33CC"/>
      </bottom>
      <diagonal/>
    </border>
    <border>
      <left/>
      <right/>
      <top/>
      <bottom style="thin">
        <color rgb="FFFF33CC"/>
      </bottom>
      <diagonal/>
    </border>
    <border>
      <left style="thin">
        <color indexed="64"/>
      </left>
      <right style="medium">
        <color rgb="FF00B050"/>
      </right>
      <top style="thin">
        <color indexed="64"/>
      </top>
      <bottom style="medium">
        <color rgb="FF00B050"/>
      </bottom>
      <diagonal/>
    </border>
    <border>
      <left style="thin">
        <color indexed="64"/>
      </left>
      <right style="medium">
        <color rgb="FF0066FF"/>
      </right>
      <top style="thin">
        <color indexed="64"/>
      </top>
      <bottom style="medium">
        <color rgb="FF3366FF"/>
      </bottom>
      <diagonal/>
    </border>
    <border>
      <left style="thin">
        <color indexed="64"/>
      </left>
      <right style="thin">
        <color indexed="64"/>
      </right>
      <top style="thin">
        <color indexed="64"/>
      </top>
      <bottom style="medium">
        <color rgb="FF3366FF"/>
      </bottom>
      <diagonal/>
    </border>
    <border>
      <left style="medium">
        <color indexed="64"/>
      </left>
      <right style="thin">
        <color indexed="64"/>
      </right>
      <top style="thin">
        <color indexed="64"/>
      </top>
      <bottom style="medium">
        <color rgb="FF00B050"/>
      </bottom>
      <diagonal/>
    </border>
  </borders>
  <cellStyleXfs count="7">
    <xf numFmtId="0" fontId="0" fillId="0" borderId="0"/>
    <xf numFmtId="0" fontId="21" fillId="0" borderId="0"/>
    <xf numFmtId="169" fontId="21" fillId="0" borderId="0" applyFont="0" applyFill="0" applyBorder="0" applyAlignment="0" applyProtection="0"/>
    <xf numFmtId="0" fontId="22" fillId="0" borderId="89" applyNumberFormat="0" applyFill="0" applyAlignment="0" applyProtection="0"/>
    <xf numFmtId="0" fontId="23" fillId="0" borderId="90" applyNumberFormat="0" applyFill="0" applyAlignment="0" applyProtection="0"/>
    <xf numFmtId="0" fontId="21" fillId="0" borderId="0"/>
    <xf numFmtId="0" fontId="26" fillId="0" borderId="0" applyNumberFormat="0" applyFill="0" applyBorder="0" applyAlignment="0" applyProtection="0"/>
  </cellStyleXfs>
  <cellXfs count="612">
    <xf numFmtId="0" fontId="0" fillId="0" borderId="0" xfId="0"/>
    <xf numFmtId="164" fontId="0" fillId="0" borderId="2" xfId="0" applyNumberFormat="1" applyFill="1" applyBorder="1" applyAlignment="1" applyProtection="1">
      <alignment horizontal="right" vertical="center" wrapText="1" indent="1"/>
      <protection locked="0"/>
    </xf>
    <xf numFmtId="164" fontId="0" fillId="0" borderId="5" xfId="0" applyNumberFormat="1" applyFill="1" applyBorder="1" applyAlignment="1" applyProtection="1">
      <alignment horizontal="right" vertical="center" wrapText="1" indent="1"/>
      <protection locked="0"/>
    </xf>
    <xf numFmtId="165" fontId="0" fillId="0" borderId="2" xfId="0" applyNumberFormat="1" applyFill="1" applyBorder="1" applyAlignment="1" applyProtection="1">
      <alignment horizontal="center" vertical="center" wrapText="1"/>
      <protection locked="0"/>
    </xf>
    <xf numFmtId="165" fontId="0" fillId="0" borderId="5" xfId="0" applyNumberFormat="1" applyFill="1" applyBorder="1" applyAlignment="1" applyProtection="1">
      <alignment horizontal="center" vertical="center" wrapText="1"/>
      <protection locked="0"/>
    </xf>
    <xf numFmtId="165" fontId="0" fillId="7" borderId="5" xfId="0" applyNumberFormat="1" applyFill="1" applyBorder="1" applyAlignment="1" applyProtection="1">
      <alignment horizontal="center" vertical="center" wrapText="1"/>
    </xf>
    <xf numFmtId="165" fontId="0" fillId="0" borderId="3" xfId="0" applyNumberFormat="1" applyFill="1" applyBorder="1" applyAlignment="1" applyProtection="1">
      <alignment horizontal="right" vertical="center" indent="1"/>
      <protection locked="0"/>
    </xf>
    <xf numFmtId="165" fontId="0" fillId="0" borderId="4" xfId="0" applyNumberFormat="1" applyFill="1" applyBorder="1" applyAlignment="1" applyProtection="1">
      <alignment horizontal="right" vertical="center" indent="1"/>
      <protection locked="0"/>
    </xf>
    <xf numFmtId="165" fontId="0" fillId="2" borderId="6" xfId="0" applyNumberFormat="1" applyFill="1" applyBorder="1" applyAlignment="1" applyProtection="1">
      <alignment horizontal="right" vertical="center" indent="1"/>
    </xf>
    <xf numFmtId="165" fontId="0" fillId="2" borderId="1" xfId="0" applyNumberFormat="1" applyFill="1" applyBorder="1" applyAlignment="1" applyProtection="1">
      <alignment horizontal="right" vertical="center" wrapText="1" indent="1"/>
    </xf>
    <xf numFmtId="0" fontId="0" fillId="0" borderId="0" xfId="0" applyAlignment="1" applyProtection="1">
      <alignment vertical="center"/>
    </xf>
    <xf numFmtId="0" fontId="0" fillId="0" borderId="0" xfId="0" applyProtection="1"/>
    <xf numFmtId="0" fontId="1" fillId="0" borderId="0" xfId="0" applyFont="1" applyAlignment="1" applyProtection="1">
      <alignment horizontal="left" vertical="center"/>
    </xf>
    <xf numFmtId="0" fontId="0" fillId="0" borderId="0" xfId="0" applyAlignment="1" applyProtection="1">
      <alignment vertical="center" wrapText="1"/>
    </xf>
    <xf numFmtId="0" fontId="0" fillId="0" borderId="17" xfId="0" applyBorder="1" applyAlignment="1" applyProtection="1">
      <alignment horizontal="center" vertical="center"/>
    </xf>
    <xf numFmtId="0" fontId="0" fillId="6" borderId="8"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0" borderId="18" xfId="0" applyBorder="1" applyAlignment="1" applyProtection="1">
      <alignment horizontal="center" vertical="center" wrapText="1"/>
    </xf>
    <xf numFmtId="0" fontId="1" fillId="0" borderId="13" xfId="0" applyFont="1" applyBorder="1" applyAlignment="1" applyProtection="1">
      <alignment vertical="center"/>
    </xf>
    <xf numFmtId="164" fontId="0" fillId="4" borderId="2" xfId="0" applyNumberFormat="1" applyFill="1" applyBorder="1" applyAlignment="1" applyProtection="1">
      <alignment horizontal="right" vertical="center" wrapText="1" indent="1"/>
    </xf>
    <xf numFmtId="165" fontId="0" fillId="4" borderId="2" xfId="0" applyNumberFormat="1" applyFill="1" applyBorder="1" applyAlignment="1" applyProtection="1">
      <alignment horizontal="center" vertical="center" wrapText="1"/>
    </xf>
    <xf numFmtId="164" fontId="0" fillId="7" borderId="2" xfId="0" applyNumberFormat="1" applyFill="1" applyBorder="1" applyAlignment="1" applyProtection="1">
      <alignment horizontal="right" vertical="center" wrapText="1" indent="1"/>
    </xf>
    <xf numFmtId="164" fontId="0" fillId="4" borderId="2" xfId="0" applyNumberFormat="1" applyFill="1" applyBorder="1" applyAlignment="1" applyProtection="1">
      <alignment horizontal="center" vertical="center" wrapText="1"/>
    </xf>
    <xf numFmtId="0" fontId="1" fillId="0" borderId="14" xfId="0" applyFont="1" applyBorder="1" applyAlignment="1" applyProtection="1">
      <alignment vertical="center"/>
    </xf>
    <xf numFmtId="164" fontId="0" fillId="4" borderId="5" xfId="0" applyNumberFormat="1" applyFill="1" applyBorder="1" applyAlignment="1" applyProtection="1">
      <alignment horizontal="right" vertical="center" wrapText="1" indent="1"/>
    </xf>
    <xf numFmtId="165" fontId="0" fillId="4" borderId="5" xfId="0" applyNumberFormat="1" applyFill="1" applyBorder="1" applyAlignment="1" applyProtection="1">
      <alignment horizontal="center" vertical="center" wrapText="1"/>
    </xf>
    <xf numFmtId="164" fontId="0" fillId="7" borderId="5" xfId="0" applyNumberFormat="1" applyFill="1" applyBorder="1" applyAlignment="1" applyProtection="1">
      <alignment horizontal="right" vertical="center" wrapText="1" indent="1"/>
    </xf>
    <xf numFmtId="164" fontId="0" fillId="4" borderId="5" xfId="0" applyNumberFormat="1" applyFill="1" applyBorder="1" applyAlignment="1" applyProtection="1">
      <alignment horizontal="center" vertical="center" wrapText="1"/>
    </xf>
    <xf numFmtId="0" fontId="0" fillId="0" borderId="19" xfId="0" applyBorder="1" applyAlignment="1" applyProtection="1">
      <alignment vertical="center" wrapText="1"/>
    </xf>
    <xf numFmtId="164" fontId="0" fillId="0" borderId="0" xfId="0" applyNumberFormat="1" applyAlignment="1" applyProtection="1">
      <alignment vertical="center" wrapText="1"/>
    </xf>
    <xf numFmtId="165" fontId="0" fillId="7" borderId="2" xfId="0" applyNumberFormat="1" applyFill="1" applyBorder="1" applyAlignment="1" applyProtection="1">
      <alignment horizontal="center" vertical="center" wrapText="1"/>
    </xf>
    <xf numFmtId="165" fontId="0" fillId="0" borderId="0" xfId="0" applyNumberFormat="1" applyAlignment="1" applyProtection="1">
      <alignment vertical="center" wrapText="1"/>
    </xf>
    <xf numFmtId="166" fontId="0" fillId="0" borderId="0" xfId="0" applyNumberFormat="1" applyFill="1" applyBorder="1" applyAlignment="1" applyProtection="1">
      <alignment horizontal="right" vertical="center" wrapText="1" indent="2"/>
    </xf>
    <xf numFmtId="166" fontId="0" fillId="0" borderId="0" xfId="0" applyNumberFormat="1" applyProtection="1"/>
    <xf numFmtId="0" fontId="0" fillId="0" borderId="32" xfId="0" applyBorder="1" applyAlignment="1" applyProtection="1">
      <alignment horizontal="right" vertical="center" wrapText="1" indent="3"/>
    </xf>
    <xf numFmtId="0" fontId="1" fillId="0" borderId="0" xfId="0" applyFont="1" applyBorder="1" applyAlignment="1" applyProtection="1">
      <alignment horizontal="center" vertical="center" wrapText="1"/>
    </xf>
    <xf numFmtId="166" fontId="0" fillId="0" borderId="0" xfId="0" applyNumberFormat="1" applyBorder="1" applyAlignment="1" applyProtection="1">
      <alignment horizontal="right" vertical="center" wrapText="1" indent="3"/>
    </xf>
    <xf numFmtId="0" fontId="0" fillId="0" borderId="0" xfId="0" applyBorder="1" applyAlignment="1" applyProtection="1">
      <alignment vertical="center"/>
    </xf>
    <xf numFmtId="10" fontId="0" fillId="0" borderId="0" xfId="0" applyNumberFormat="1" applyBorder="1" applyAlignment="1" applyProtection="1">
      <alignment horizontal="center" vertical="center"/>
    </xf>
    <xf numFmtId="0" fontId="0" fillId="0" borderId="0" xfId="0" applyAlignment="1" applyProtection="1">
      <alignment horizontal="right" vertical="center"/>
    </xf>
    <xf numFmtId="0" fontId="1" fillId="0" borderId="0" xfId="0" applyFont="1" applyAlignment="1" applyProtection="1">
      <alignment horizontal="left" vertical="center"/>
    </xf>
    <xf numFmtId="0" fontId="0" fillId="0" borderId="1" xfId="0" applyBorder="1" applyAlignment="1" applyProtection="1">
      <alignment vertical="center"/>
    </xf>
    <xf numFmtId="10" fontId="0" fillId="0" borderId="3" xfId="0" applyNumberFormat="1" applyBorder="1" applyAlignment="1" applyProtection="1">
      <alignment horizontal="center" vertical="center"/>
    </xf>
    <xf numFmtId="0" fontId="0" fillId="0" borderId="4" xfId="0" applyBorder="1" applyAlignment="1" applyProtection="1">
      <alignment vertical="center"/>
    </xf>
    <xf numFmtId="10" fontId="0" fillId="0" borderId="6" xfId="0" applyNumberFormat="1" applyBorder="1" applyAlignment="1" applyProtection="1">
      <alignment horizontal="center"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35" xfId="0" applyBorder="1" applyAlignment="1" applyProtection="1">
      <alignment vertical="center"/>
    </xf>
    <xf numFmtId="10" fontId="0" fillId="0" borderId="36" xfId="0" applyNumberFormat="1" applyBorder="1" applyAlignment="1" applyProtection="1">
      <alignment horizontal="center" vertical="center"/>
    </xf>
    <xf numFmtId="0" fontId="0" fillId="8" borderId="32" xfId="0" applyFill="1" applyBorder="1" applyAlignment="1" applyProtection="1">
      <alignment horizontal="right" vertical="center" wrapText="1" indent="3"/>
    </xf>
    <xf numFmtId="164" fontId="0" fillId="0" borderId="0" xfId="0" applyNumberFormat="1" applyAlignment="1" applyProtection="1">
      <alignment vertical="center"/>
    </xf>
    <xf numFmtId="0" fontId="1"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164" fontId="0" fillId="12" borderId="32" xfId="0" applyNumberFormat="1" applyFill="1" applyBorder="1" applyAlignment="1" applyProtection="1">
      <alignment horizontal="right" vertical="center" wrapText="1" indent="1"/>
    </xf>
    <xf numFmtId="165" fontId="0" fillId="12" borderId="32" xfId="0" applyNumberFormat="1" applyFill="1" applyBorder="1" applyAlignment="1" applyProtection="1">
      <alignment horizontal="center" vertical="center" wrapText="1"/>
    </xf>
    <xf numFmtId="164" fontId="0" fillId="12" borderId="32" xfId="0" applyNumberForma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2" xfId="0" applyBorder="1" applyAlignment="1" applyProtection="1">
      <alignment horizontal="center" vertical="center"/>
    </xf>
    <xf numFmtId="0" fontId="0" fillId="0" borderId="47" xfId="0" applyBorder="1" applyProtection="1"/>
    <xf numFmtId="0" fontId="0" fillId="0" borderId="48" xfId="0" applyBorder="1" applyAlignment="1" applyProtection="1">
      <alignment vertical="center"/>
    </xf>
    <xf numFmtId="0" fontId="3" fillId="0" borderId="0" xfId="0" applyFont="1" applyBorder="1" applyAlignment="1" applyProtection="1">
      <alignment vertical="center"/>
    </xf>
    <xf numFmtId="0" fontId="0" fillId="0" borderId="0" xfId="0" applyBorder="1" applyProtection="1"/>
    <xf numFmtId="0" fontId="0" fillId="0" borderId="48" xfId="0" applyBorder="1" applyProtection="1"/>
    <xf numFmtId="0" fontId="0" fillId="0" borderId="58" xfId="0" applyBorder="1" applyProtection="1"/>
    <xf numFmtId="0" fontId="0" fillId="0" borderId="59" xfId="0" applyBorder="1" applyProtection="1"/>
    <xf numFmtId="0" fontId="0" fillId="0" borderId="65" xfId="0" applyBorder="1" applyAlignment="1" applyProtection="1">
      <alignment horizontal="right" vertical="center" wrapText="1" indent="3"/>
    </xf>
    <xf numFmtId="0" fontId="1" fillId="4" borderId="32" xfId="0" applyFont="1" applyFill="1" applyBorder="1" applyAlignment="1" applyProtection="1">
      <alignment horizontal="center" vertical="center" wrapText="1"/>
    </xf>
    <xf numFmtId="0" fontId="1" fillId="4" borderId="52" xfId="0" applyFont="1" applyFill="1" applyBorder="1" applyAlignment="1" applyProtection="1">
      <alignment horizontal="center" vertical="center" wrapText="1"/>
    </xf>
    <xf numFmtId="0" fontId="1" fillId="15" borderId="32" xfId="0" applyFont="1" applyFill="1" applyBorder="1" applyAlignment="1" applyProtection="1">
      <alignment horizontal="center" vertical="center" wrapText="1"/>
    </xf>
    <xf numFmtId="0" fontId="1" fillId="15" borderId="63" xfId="0" applyFont="1" applyFill="1" applyBorder="1" applyAlignment="1" applyProtection="1">
      <alignment horizontal="center" vertical="center" wrapText="1"/>
    </xf>
    <xf numFmtId="0" fontId="1" fillId="0" borderId="0" xfId="0" applyFont="1" applyAlignment="1" applyProtection="1">
      <alignment horizontal="left" vertical="center"/>
    </xf>
    <xf numFmtId="0" fontId="0" fillId="0" borderId="0" xfId="0" applyBorder="1" applyAlignment="1" applyProtection="1">
      <alignment horizontal="center" vertical="center"/>
    </xf>
    <xf numFmtId="0" fontId="0" fillId="8" borderId="1" xfId="0" applyFill="1" applyBorder="1" applyAlignment="1" applyProtection="1">
      <alignment vertical="center"/>
    </xf>
    <xf numFmtId="0" fontId="0" fillId="8" borderId="35" xfId="0" applyFill="1" applyBorder="1" applyAlignment="1" applyProtection="1">
      <alignment vertical="center"/>
    </xf>
    <xf numFmtId="0" fontId="0" fillId="8" borderId="4" xfId="0" applyFill="1" applyBorder="1" applyAlignment="1" applyProtection="1">
      <alignment vertical="center"/>
    </xf>
    <xf numFmtId="0" fontId="0" fillId="8" borderId="32" xfId="0" applyFill="1" applyBorder="1" applyAlignment="1" applyProtection="1">
      <alignment vertical="center"/>
    </xf>
    <xf numFmtId="0" fontId="0" fillId="0" borderId="32" xfId="0" applyFill="1" applyBorder="1" applyAlignment="1" applyProtection="1">
      <alignment vertical="center"/>
    </xf>
    <xf numFmtId="10" fontId="0" fillId="0" borderId="0" xfId="0" applyNumberFormat="1" applyBorder="1" applyAlignment="1" applyProtection="1">
      <alignment vertical="center"/>
    </xf>
    <xf numFmtId="0" fontId="0" fillId="0" borderId="32" xfId="0" applyBorder="1" applyAlignment="1" applyProtection="1">
      <alignment horizontal="center"/>
    </xf>
    <xf numFmtId="0" fontId="0" fillId="0" borderId="0" xfId="0" applyBorder="1" applyAlignment="1" applyProtection="1">
      <alignment vertical="center" wrapText="1"/>
    </xf>
    <xf numFmtId="0" fontId="8" fillId="0" borderId="0" xfId="0" quotePrefix="1" applyFont="1" applyAlignment="1" applyProtection="1">
      <alignment horizontal="right" vertical="center"/>
    </xf>
    <xf numFmtId="0" fontId="8" fillId="0" borderId="0" xfId="0" applyFont="1" applyAlignment="1" applyProtection="1">
      <alignment horizontal="left" vertical="center"/>
    </xf>
    <xf numFmtId="0" fontId="0" fillId="0" borderId="85" xfId="0" applyBorder="1" applyAlignment="1" applyProtection="1">
      <alignment vertical="center"/>
    </xf>
    <xf numFmtId="0" fontId="0" fillId="0" borderId="85" xfId="0" applyBorder="1" applyAlignment="1" applyProtection="1">
      <alignment horizontal="right" vertical="center"/>
    </xf>
    <xf numFmtId="14" fontId="0" fillId="0" borderId="85" xfId="0" applyNumberFormat="1" applyBorder="1" applyAlignment="1" applyProtection="1">
      <alignment horizontal="left"/>
    </xf>
    <xf numFmtId="0" fontId="0" fillId="0" borderId="0" xfId="0" applyAlignment="1" applyProtection="1">
      <alignment horizontal="center" vertical="center"/>
    </xf>
    <xf numFmtId="0" fontId="10" fillId="10" borderId="32" xfId="0" applyFont="1" applyFill="1" applyBorder="1" applyAlignment="1" applyProtection="1">
      <alignment horizontal="center" vertical="center" wrapText="1"/>
    </xf>
    <xf numFmtId="0" fontId="1" fillId="16" borderId="32" xfId="0" quotePrefix="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16" borderId="84" xfId="0" applyFont="1" applyFill="1" applyBorder="1" applyAlignment="1" applyProtection="1">
      <alignment horizontal="center" vertical="center"/>
    </xf>
    <xf numFmtId="3" fontId="1" fillId="16" borderId="36" xfId="0" applyNumberFormat="1" applyFont="1" applyFill="1"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3" fontId="0" fillId="16" borderId="36" xfId="0" applyNumberFormat="1" applyFill="1" applyBorder="1" applyAlignment="1" applyProtection="1">
      <alignment horizontal="center" vertical="center"/>
    </xf>
    <xf numFmtId="0" fontId="1" fillId="16" borderId="35" xfId="0" quotePrefix="1" applyFont="1" applyFill="1" applyBorder="1" applyAlignment="1" applyProtection="1">
      <alignment horizontal="center" vertical="center"/>
    </xf>
    <xf numFmtId="0" fontId="1" fillId="16" borderId="6" xfId="0" applyFont="1" applyFill="1" applyBorder="1" applyAlignment="1" applyProtection="1">
      <alignment horizontal="center" vertical="center"/>
    </xf>
    <xf numFmtId="0" fontId="1" fillId="16" borderId="4" xfId="0" applyFont="1" applyFill="1" applyBorder="1" applyAlignment="1" applyProtection="1">
      <alignment horizontal="right" vertical="center"/>
    </xf>
    <xf numFmtId="0" fontId="1" fillId="16" borderId="5" xfId="0" applyFont="1" applyFill="1" applyBorder="1" applyAlignment="1" applyProtection="1">
      <alignment horizontal="right" vertical="center"/>
    </xf>
    <xf numFmtId="0" fontId="0" fillId="0" borderId="59" xfId="0" applyBorder="1" applyAlignment="1" applyProtection="1">
      <alignment vertical="center"/>
    </xf>
    <xf numFmtId="0" fontId="17" fillId="0" borderId="33" xfId="0" quotePrefix="1" applyFont="1" applyBorder="1"/>
    <xf numFmtId="0" fontId="19" fillId="0" borderId="0" xfId="0" applyFont="1"/>
    <xf numFmtId="0" fontId="0" fillId="0" borderId="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 fillId="17" borderId="32" xfId="0" applyFont="1" applyFill="1" applyBorder="1" applyAlignment="1" applyProtection="1">
      <alignment horizontal="center" vertical="center" wrapText="1"/>
    </xf>
    <xf numFmtId="0" fontId="0" fillId="0" borderId="32" xfId="0" applyBorder="1" applyAlignment="1" applyProtection="1">
      <alignment horizontal="left" vertical="center"/>
    </xf>
    <xf numFmtId="0" fontId="0" fillId="0" borderId="32" xfId="0" applyBorder="1" applyAlignment="1" applyProtection="1">
      <alignment horizontal="left" vertical="center" wrapText="1"/>
    </xf>
    <xf numFmtId="0" fontId="0" fillId="8" borderId="32" xfId="0" applyFill="1" applyBorder="1" applyAlignment="1" applyProtection="1">
      <alignment horizontal="right" vertical="center"/>
    </xf>
    <xf numFmtId="167" fontId="1" fillId="0" borderId="32" xfId="0" applyNumberFormat="1" applyFont="1" applyBorder="1" applyAlignment="1" applyProtection="1">
      <alignment horizontal="center" vertical="center"/>
      <protection locked="0"/>
    </xf>
    <xf numFmtId="2" fontId="1" fillId="0" borderId="32"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xf>
    <xf numFmtId="14" fontId="25" fillId="0" borderId="48" xfId="0" applyNumberFormat="1" applyFont="1" applyBorder="1" applyAlignment="1" applyProtection="1">
      <alignment horizontal="center" vertical="center"/>
    </xf>
    <xf numFmtId="0" fontId="8" fillId="0" borderId="0" xfId="0" applyFont="1" applyAlignment="1" applyProtection="1">
      <alignment horizontal="left" vertical="center"/>
    </xf>
    <xf numFmtId="0" fontId="0" fillId="8" borderId="0" xfId="0" applyFill="1" applyBorder="1" applyAlignment="1" applyProtection="1">
      <alignment horizontal="right" vertical="center"/>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164" fontId="1" fillId="12" borderId="32" xfId="0" applyNumberFormat="1" applyFont="1" applyFill="1" applyBorder="1" applyAlignment="1" applyProtection="1">
      <alignment horizontal="center" vertical="center" wrapText="1"/>
    </xf>
    <xf numFmtId="164" fontId="0" fillId="0" borderId="0" xfId="0" applyNumberFormat="1" applyBorder="1" applyAlignment="1" applyProtection="1">
      <alignment vertical="center"/>
    </xf>
    <xf numFmtId="170" fontId="1" fillId="0" borderId="32" xfId="0" applyNumberFormat="1" applyFont="1" applyBorder="1" applyAlignment="1" applyProtection="1">
      <alignment horizontal="center" vertical="center"/>
      <protection locked="0"/>
    </xf>
    <xf numFmtId="2" fontId="0" fillId="0" borderId="32" xfId="0" applyNumberFormat="1" applyBorder="1" applyAlignment="1" applyProtection="1">
      <alignment horizontal="right" vertical="center" wrapText="1" indent="2"/>
    </xf>
    <xf numFmtId="166" fontId="0" fillId="0" borderId="32" xfId="0" applyNumberFormat="1" applyBorder="1" applyAlignment="1" applyProtection="1">
      <alignment horizontal="right" vertical="center" wrapText="1" indent="4"/>
    </xf>
    <xf numFmtId="2" fontId="0" fillId="8" borderId="32" xfId="0" applyNumberFormat="1" applyFill="1" applyBorder="1" applyAlignment="1" applyProtection="1">
      <alignment horizontal="right" vertical="center" wrapText="1" indent="2"/>
    </xf>
    <xf numFmtId="166" fontId="0" fillId="8" borderId="32" xfId="0" applyNumberFormat="1" applyFill="1" applyBorder="1" applyAlignment="1" applyProtection="1">
      <alignment horizontal="right" vertical="center" wrapText="1" indent="4"/>
    </xf>
    <xf numFmtId="2" fontId="0" fillId="0" borderId="32" xfId="0" applyNumberFormat="1" applyBorder="1" applyAlignment="1" applyProtection="1">
      <alignment horizontal="right" vertical="center" wrapText="1" indent="3"/>
    </xf>
    <xf numFmtId="166" fontId="0" fillId="0" borderId="32" xfId="0" applyNumberFormat="1" applyBorder="1" applyAlignment="1" applyProtection="1">
      <alignment horizontal="right" vertical="center" wrapText="1" indent="3"/>
    </xf>
    <xf numFmtId="0" fontId="0" fillId="0" borderId="55" xfId="0" applyBorder="1" applyProtection="1"/>
    <xf numFmtId="0" fontId="0" fillId="0" borderId="56" xfId="0" applyBorder="1" applyProtection="1"/>
    <xf numFmtId="0" fontId="0" fillId="0" borderId="57" xfId="0" applyBorder="1" applyProtection="1"/>
    <xf numFmtId="166" fontId="0" fillId="0" borderId="63" xfId="0" applyNumberFormat="1" applyBorder="1" applyAlignment="1" applyProtection="1">
      <alignment horizontal="right" vertical="center" wrapText="1" indent="3"/>
    </xf>
    <xf numFmtId="2" fontId="0" fillId="0" borderId="65" xfId="0" applyNumberFormat="1" applyBorder="1" applyAlignment="1" applyProtection="1">
      <alignment horizontal="right" vertical="center" wrapText="1" indent="3"/>
    </xf>
    <xf numFmtId="166" fontId="0" fillId="0" borderId="65" xfId="0" applyNumberFormat="1" applyBorder="1" applyAlignment="1" applyProtection="1">
      <alignment horizontal="right" vertical="center" wrapText="1" indent="3"/>
    </xf>
    <xf numFmtId="166" fontId="0" fillId="0" borderId="66" xfId="0" applyNumberFormat="1" applyBorder="1" applyAlignment="1" applyProtection="1">
      <alignment horizontal="right" vertical="center" wrapText="1" indent="3"/>
    </xf>
    <xf numFmtId="0" fontId="0" fillId="0" borderId="44" xfId="0" applyBorder="1" applyProtection="1"/>
    <xf numFmtId="0" fontId="0" fillId="0" borderId="45" xfId="0" applyBorder="1" applyProtection="1"/>
    <xf numFmtId="0" fontId="0" fillId="0" borderId="46" xfId="0" applyBorder="1" applyProtection="1"/>
    <xf numFmtId="166" fontId="0" fillId="0" borderId="52" xfId="0" applyNumberFormat="1" applyBorder="1" applyAlignment="1" applyProtection="1">
      <alignment horizontal="right" vertical="center" wrapText="1" indent="3"/>
    </xf>
    <xf numFmtId="2" fontId="0" fillId="0" borderId="54" xfId="0" applyNumberFormat="1" applyBorder="1" applyAlignment="1" applyProtection="1">
      <alignment horizontal="right" vertical="center" wrapText="1" indent="3"/>
    </xf>
    <xf numFmtId="0" fontId="0" fillId="0" borderId="0" xfId="0" applyBorder="1" applyAlignment="1" applyProtection="1">
      <alignment horizontal="center" vertical="center"/>
    </xf>
    <xf numFmtId="0" fontId="8" fillId="0" borderId="0" xfId="0" applyFont="1" applyAlignment="1" applyProtection="1">
      <alignment horizontal="left" vertical="center"/>
    </xf>
    <xf numFmtId="3" fontId="0" fillId="0" borderId="35" xfId="0" applyNumberFormat="1" applyBorder="1" applyAlignment="1" applyProtection="1">
      <alignment horizontal="center" vertical="center"/>
    </xf>
    <xf numFmtId="3" fontId="0" fillId="0" borderId="32" xfId="0" applyNumberFormat="1" applyBorder="1" applyAlignment="1" applyProtection="1">
      <alignment horizontal="center" vertical="center"/>
    </xf>
    <xf numFmtId="0" fontId="1" fillId="0" borderId="5" xfId="0" applyFont="1" applyBorder="1" applyAlignment="1" applyProtection="1">
      <alignment horizontal="center" vertical="center"/>
    </xf>
    <xf numFmtId="0" fontId="0" fillId="0" borderId="27" xfId="0" applyBorder="1" applyProtection="1"/>
    <xf numFmtId="0" fontId="1" fillId="0" borderId="87"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2" borderId="35" xfId="0" applyFont="1" applyFill="1" applyBorder="1" applyAlignment="1" applyProtection="1">
      <alignment horizontal="center" vertical="center"/>
    </xf>
    <xf numFmtId="0" fontId="0" fillId="2" borderId="32" xfId="0" applyFill="1" applyBorder="1" applyAlignment="1" applyProtection="1">
      <alignment horizontal="center" vertical="center"/>
    </xf>
    <xf numFmtId="10" fontId="0" fillId="2" borderId="32" xfId="0" applyNumberFormat="1" applyFill="1" applyBorder="1" applyAlignment="1" applyProtection="1">
      <alignment horizontal="center" vertical="center"/>
    </xf>
    <xf numFmtId="10" fontId="0" fillId="2" borderId="36" xfId="0" applyNumberFormat="1" applyFill="1" applyBorder="1" applyAlignment="1" applyProtection="1">
      <alignment horizontal="center" vertical="center"/>
    </xf>
    <xf numFmtId="0" fontId="0" fillId="2" borderId="5" xfId="0" applyFill="1" applyBorder="1" applyAlignment="1" applyProtection="1">
      <alignment horizontal="center" vertical="center"/>
    </xf>
    <xf numFmtId="10" fontId="0" fillId="2" borderId="5" xfId="0" applyNumberFormat="1" applyFill="1" applyBorder="1" applyAlignment="1" applyProtection="1">
      <alignment horizontal="center" vertical="center"/>
    </xf>
    <xf numFmtId="10" fontId="0" fillId="2" borderId="6" xfId="0" applyNumberForma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0" fillId="2" borderId="88" xfId="0" applyFill="1" applyBorder="1" applyAlignment="1" applyProtection="1">
      <alignment horizontal="center" vertical="center"/>
    </xf>
    <xf numFmtId="10" fontId="0" fillId="2" borderId="88" xfId="0" applyNumberFormat="1" applyFill="1" applyBorder="1" applyAlignment="1" applyProtection="1">
      <alignment horizontal="center" vertical="center"/>
    </xf>
    <xf numFmtId="10" fontId="0" fillId="2" borderId="30" xfId="0" applyNumberFormat="1" applyFill="1" applyBorder="1" applyAlignment="1" applyProtection="1">
      <alignment horizontal="center" vertical="center"/>
    </xf>
    <xf numFmtId="0" fontId="1" fillId="0" borderId="27" xfId="0" applyFont="1" applyBorder="1" applyAlignment="1" applyProtection="1">
      <alignment horizontal="center" vertical="center" wrapText="1"/>
    </xf>
    <xf numFmtId="10" fontId="0" fillId="0" borderId="19" xfId="0" applyNumberFormat="1" applyBorder="1" applyAlignment="1" applyProtection="1">
      <alignment horizontal="center"/>
    </xf>
    <xf numFmtId="10" fontId="0" fillId="0" borderId="20" xfId="0" applyNumberFormat="1" applyBorder="1" applyAlignment="1" applyProtection="1">
      <alignment horizontal="center"/>
    </xf>
    <xf numFmtId="0" fontId="0" fillId="2" borderId="2" xfId="0" applyFill="1" applyBorder="1" applyAlignment="1" applyProtection="1">
      <alignment horizontal="center" vertical="center"/>
    </xf>
    <xf numFmtId="10" fontId="0" fillId="2" borderId="2" xfId="0" applyNumberFormat="1" applyFill="1" applyBorder="1" applyAlignment="1" applyProtection="1">
      <alignment horizontal="center" vertical="center"/>
    </xf>
    <xf numFmtId="10" fontId="0" fillId="2" borderId="3" xfId="0" applyNumberFormat="1" applyFill="1" applyBorder="1" applyAlignment="1" applyProtection="1">
      <alignment horizontal="center" vertical="center"/>
    </xf>
    <xf numFmtId="0" fontId="0" fillId="0" borderId="32"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8" fillId="0" borderId="0" xfId="0" applyFont="1" applyAlignment="1" applyProtection="1">
      <alignment horizontal="left" vertical="center"/>
    </xf>
    <xf numFmtId="10" fontId="10" fillId="18" borderId="32" xfId="0" applyNumberFormat="1" applyFont="1" applyFill="1" applyBorder="1" applyAlignment="1" applyProtection="1">
      <alignment horizontal="center" vertical="center" wrapText="1"/>
    </xf>
    <xf numFmtId="0" fontId="0" fillId="0" borderId="0" xfId="0" applyFill="1" applyBorder="1" applyProtection="1"/>
    <xf numFmtId="0" fontId="0" fillId="0" borderId="0" xfId="0" applyAlignment="1">
      <alignment vertical="center" wrapText="1"/>
    </xf>
    <xf numFmtId="0" fontId="0" fillId="0" borderId="0" xfId="0"/>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 fillId="10" borderId="82" xfId="0" applyFont="1" applyFill="1" applyBorder="1" applyAlignment="1">
      <alignment horizontal="center" vertical="center" wrapText="1"/>
    </xf>
    <xf numFmtId="10" fontId="0" fillId="0" borderId="0" xfId="0" applyNumberFormat="1" applyAlignment="1">
      <alignment horizontal="center" vertical="center"/>
    </xf>
    <xf numFmtId="10" fontId="0" fillId="0" borderId="0" xfId="0" applyNumberFormat="1" applyAlignment="1">
      <alignment vertical="center"/>
    </xf>
    <xf numFmtId="0" fontId="0" fillId="0" borderId="0" xfId="0" applyAlignment="1">
      <alignment horizontal="right" vertical="center"/>
    </xf>
    <xf numFmtId="0" fontId="1" fillId="11" borderId="32" xfId="0" applyFont="1" applyFill="1" applyBorder="1" applyAlignment="1">
      <alignment horizontal="center" vertical="center" wrapText="1"/>
    </xf>
    <xf numFmtId="164" fontId="0" fillId="12" borderId="32" xfId="0" applyNumberFormat="1" applyFill="1" applyBorder="1" applyAlignment="1">
      <alignment horizontal="right" vertical="center" wrapText="1" indent="1"/>
    </xf>
    <xf numFmtId="165" fontId="0" fillId="12" borderId="32" xfId="0" applyNumberFormat="1" applyFill="1" applyBorder="1" applyAlignment="1">
      <alignment horizontal="center" vertical="center" wrapText="1"/>
    </xf>
    <xf numFmtId="164" fontId="0" fillId="12" borderId="32" xfId="0" applyNumberFormat="1" applyFill="1" applyBorder="1" applyAlignment="1">
      <alignment horizontal="center" vertical="center" wrapText="1"/>
    </xf>
    <xf numFmtId="10" fontId="28" fillId="19" borderId="32" xfId="0" applyNumberFormat="1" applyFont="1" applyFill="1" applyBorder="1" applyAlignment="1">
      <alignment horizontal="center" vertical="center" wrapText="1"/>
    </xf>
    <xf numFmtId="49" fontId="0" fillId="0" borderId="0" xfId="0" quotePrefix="1" applyNumberFormat="1" applyAlignment="1">
      <alignment horizontal="right" vertical="top" wrapText="1"/>
    </xf>
    <xf numFmtId="0" fontId="0" fillId="0" borderId="0" xfId="0" quotePrefix="1" applyAlignment="1">
      <alignment horizontal="right" vertical="center"/>
    </xf>
    <xf numFmtId="14" fontId="0" fillId="0" borderId="85" xfId="0" applyNumberFormat="1" applyBorder="1" applyAlignment="1">
      <alignment horizontal="left"/>
    </xf>
    <xf numFmtId="0" fontId="0" fillId="0" borderId="85" xfId="0" applyBorder="1" applyAlignment="1">
      <alignment vertical="center"/>
    </xf>
    <xf numFmtId="0" fontId="0" fillId="0" borderId="85" xfId="0" applyBorder="1" applyAlignment="1">
      <alignment horizontal="right" vertical="center"/>
    </xf>
    <xf numFmtId="0" fontId="0" fillId="0" borderId="3" xfId="0" applyBorder="1" applyAlignment="1">
      <alignment vertical="center"/>
    </xf>
    <xf numFmtId="0" fontId="0" fillId="0" borderId="6" xfId="0" applyBorder="1" applyAlignment="1">
      <alignment vertical="center"/>
    </xf>
    <xf numFmtId="164" fontId="0" fillId="0" borderId="0" xfId="0" applyNumberFormat="1" applyAlignment="1">
      <alignment vertical="center"/>
    </xf>
    <xf numFmtId="0" fontId="0" fillId="0" borderId="1" xfId="0" applyBorder="1" applyAlignment="1">
      <alignment vertical="center"/>
    </xf>
    <xf numFmtId="10" fontId="0" fillId="0" borderId="3" xfId="0" applyNumberFormat="1" applyBorder="1" applyAlignment="1">
      <alignment horizontal="center" vertical="center"/>
    </xf>
    <xf numFmtId="0" fontId="0" fillId="0" borderId="35" xfId="0" applyBorder="1" applyAlignment="1">
      <alignment vertical="center"/>
    </xf>
    <xf numFmtId="10" fontId="0" fillId="0" borderId="36" xfId="0" applyNumberFormat="1" applyBorder="1" applyAlignment="1">
      <alignment horizontal="center" vertical="center"/>
    </xf>
    <xf numFmtId="0" fontId="0" fillId="0" borderId="4" xfId="0" applyBorder="1" applyAlignment="1">
      <alignment vertical="center"/>
    </xf>
    <xf numFmtId="10" fontId="0" fillId="0" borderId="6" xfId="0" applyNumberFormat="1" applyBorder="1" applyAlignment="1">
      <alignment horizontal="center" vertical="center"/>
    </xf>
    <xf numFmtId="166" fontId="0" fillId="0" borderId="0" xfId="0" applyNumberFormat="1" applyAlignment="1">
      <alignment horizontal="right" vertical="center" wrapText="1" indent="2"/>
    </xf>
    <xf numFmtId="166" fontId="0" fillId="0" borderId="0" xfId="0" applyNumberFormat="1"/>
    <xf numFmtId="0" fontId="0" fillId="0" borderId="0" xfId="0"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center"/>
    </xf>
    <xf numFmtId="0" fontId="1" fillId="0" borderId="0" xfId="0" applyFont="1" applyAlignment="1">
      <alignment horizontal="center" vertical="center" wrapText="1"/>
    </xf>
    <xf numFmtId="0" fontId="0" fillId="0" borderId="32" xfId="0" applyBorder="1" applyAlignment="1">
      <alignment horizontal="center" vertical="center"/>
    </xf>
    <xf numFmtId="166" fontId="0" fillId="0" borderId="0" xfId="0" applyNumberFormat="1" applyAlignment="1">
      <alignment horizontal="right" vertical="center" wrapText="1" indent="3"/>
    </xf>
    <xf numFmtId="0" fontId="0" fillId="8" borderId="32" xfId="0" applyFill="1" applyBorder="1" applyAlignment="1">
      <alignment vertical="center"/>
    </xf>
    <xf numFmtId="0" fontId="0" fillId="0" borderId="32" xfId="0" applyBorder="1" applyAlignment="1">
      <alignment vertical="center"/>
    </xf>
    <xf numFmtId="0" fontId="3" fillId="0" borderId="0" xfId="0" applyFont="1" applyAlignment="1">
      <alignment vertical="center"/>
    </xf>
    <xf numFmtId="0" fontId="0" fillId="0" borderId="32" xfId="0" applyBorder="1" applyAlignment="1">
      <alignment horizontal="center"/>
    </xf>
    <xf numFmtId="0" fontId="1" fillId="20" borderId="32" xfId="0" applyFont="1" applyFill="1" applyBorder="1" applyAlignment="1">
      <alignment horizontal="center" vertical="center"/>
    </xf>
    <xf numFmtId="0" fontId="0" fillId="0" borderId="32" xfId="0" quotePrefix="1" applyBorder="1" applyAlignment="1">
      <alignment horizontal="center" vertical="center"/>
    </xf>
    <xf numFmtId="164" fontId="0" fillId="0" borderId="32" xfId="0" applyNumberFormat="1" applyBorder="1" applyAlignment="1">
      <alignment horizontal="center" vertical="center"/>
    </xf>
    <xf numFmtId="166" fontId="0" fillId="0" borderId="32" xfId="0" applyNumberFormat="1" applyBorder="1" applyAlignment="1">
      <alignment horizontal="center" vertical="center"/>
    </xf>
    <xf numFmtId="0" fontId="4" fillId="0" borderId="0" xfId="0" applyFont="1" applyAlignment="1">
      <alignment vertical="center" textRotation="90" wrapText="1"/>
    </xf>
    <xf numFmtId="10" fontId="1" fillId="0" borderId="0" xfId="0" applyNumberFormat="1" applyFont="1" applyAlignment="1">
      <alignment horizontal="left" vertical="center"/>
    </xf>
    <xf numFmtId="0" fontId="0" fillId="13" borderId="32" xfId="0" applyFill="1" applyBorder="1" applyAlignment="1">
      <alignment horizontal="center" vertical="center"/>
    </xf>
    <xf numFmtId="0" fontId="0" fillId="0" borderId="0" xfId="0" applyAlignment="1">
      <alignment vertical="center" wrapText="1"/>
    </xf>
    <xf numFmtId="0" fontId="0" fillId="0" borderId="0" xfId="0"/>
    <xf numFmtId="0" fontId="12" fillId="0" borderId="0" xfId="0" applyFont="1" applyAlignment="1" applyProtection="1">
      <alignment horizontal="center" vertical="center"/>
    </xf>
    <xf numFmtId="0" fontId="1" fillId="0" borderId="0" xfId="0" applyFont="1" applyBorder="1" applyAlignment="1" applyProtection="1">
      <alignment horizontal="center" vertical="center"/>
      <protection locked="0"/>
    </xf>
    <xf numFmtId="170" fontId="1" fillId="0" borderId="0" xfId="0" applyNumberFormat="1" applyFont="1" applyBorder="1" applyAlignment="1" applyProtection="1">
      <alignment horizontal="center" vertical="center"/>
      <protection locked="0"/>
    </xf>
    <xf numFmtId="167" fontId="1" fillId="0" borderId="0" xfId="0" applyNumberFormat="1" applyFont="1" applyBorder="1" applyAlignment="1" applyProtection="1">
      <alignment horizontal="center" vertical="center"/>
      <protection locked="0"/>
    </xf>
    <xf numFmtId="2" fontId="1" fillId="0" borderId="0" xfId="0" applyNumberFormat="1" applyFont="1" applyBorder="1" applyAlignment="1" applyProtection="1">
      <alignment horizontal="center" vertical="center"/>
      <protection locked="0"/>
    </xf>
    <xf numFmtId="164" fontId="0" fillId="0" borderId="96" xfId="0" applyNumberFormat="1" applyBorder="1" applyAlignment="1" applyProtection="1">
      <alignment horizontal="right" vertical="center" indent="1"/>
      <protection locked="0"/>
    </xf>
    <xf numFmtId="165" fontId="0" fillId="0" borderId="36" xfId="0" applyNumberFormat="1" applyBorder="1" applyAlignment="1" applyProtection="1">
      <alignment horizontal="right" vertical="center" indent="1"/>
      <protection locked="0"/>
    </xf>
    <xf numFmtId="165" fontId="0" fillId="0" borderId="6" xfId="0" applyNumberFormat="1" applyBorder="1" applyAlignment="1" applyProtection="1">
      <alignment horizontal="right" vertical="center" indent="1"/>
      <protection locked="0"/>
    </xf>
    <xf numFmtId="0" fontId="1" fillId="20" borderId="32" xfId="0" applyFont="1" applyFill="1" applyBorder="1" applyAlignment="1">
      <alignment vertical="center" wrapText="1"/>
    </xf>
    <xf numFmtId="2" fontId="0" fillId="0" borderId="32" xfId="0" applyNumberFormat="1" applyBorder="1" applyAlignment="1">
      <alignment horizontal="center" vertical="center"/>
    </xf>
    <xf numFmtId="0" fontId="0" fillId="0" borderId="67" xfId="0" applyBorder="1"/>
    <xf numFmtId="0" fontId="0" fillId="0" borderId="68" xfId="0" applyBorder="1"/>
    <xf numFmtId="0" fontId="0" fillId="0" borderId="69" xfId="0" applyBorder="1"/>
    <xf numFmtId="0" fontId="0" fillId="0" borderId="70" xfId="0" applyBorder="1" applyAlignment="1">
      <alignment vertical="center" wrapText="1"/>
    </xf>
    <xf numFmtId="0" fontId="0" fillId="0" borderId="71" xfId="0" applyBorder="1"/>
    <xf numFmtId="0" fontId="3" fillId="0" borderId="0" xfId="0" applyFont="1" applyAlignment="1">
      <alignment horizontal="right" vertical="center"/>
    </xf>
    <xf numFmtId="14" fontId="25" fillId="0" borderId="71" xfId="0" applyNumberFormat="1" applyFont="1" applyBorder="1" applyAlignment="1">
      <alignment horizontal="center" vertical="center"/>
    </xf>
    <xf numFmtId="0" fontId="1" fillId="9" borderId="34"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0" fillId="0" borderId="34" xfId="0" applyBorder="1" applyAlignment="1">
      <alignment horizontal="right" vertical="center" wrapText="1" indent="3"/>
    </xf>
    <xf numFmtId="2" fontId="0" fillId="0" borderId="32" xfId="0" applyNumberFormat="1" applyBorder="1" applyAlignment="1">
      <alignment horizontal="right" vertical="center" wrapText="1" indent="2"/>
    </xf>
    <xf numFmtId="166" fontId="0" fillId="0" borderId="32" xfId="0" applyNumberFormat="1" applyBorder="1" applyAlignment="1">
      <alignment horizontal="right" vertical="center" wrapText="1" indent="4"/>
    </xf>
    <xf numFmtId="0" fontId="0" fillId="8" borderId="34" xfId="0" applyFill="1" applyBorder="1" applyAlignment="1">
      <alignment horizontal="right" vertical="center" wrapText="1" indent="3"/>
    </xf>
    <xf numFmtId="2" fontId="0" fillId="8" borderId="32" xfId="0" applyNumberFormat="1" applyFill="1" applyBorder="1" applyAlignment="1">
      <alignment horizontal="right" vertical="center" wrapText="1" indent="2"/>
    </xf>
    <xf numFmtId="166" fontId="0" fillId="8" borderId="32" xfId="0" applyNumberFormat="1" applyFill="1" applyBorder="1" applyAlignment="1">
      <alignment horizontal="right" vertical="center" wrapText="1" indent="4"/>
    </xf>
    <xf numFmtId="0" fontId="1" fillId="9" borderId="75" xfId="0" applyFont="1" applyFill="1" applyBorder="1" applyAlignment="1">
      <alignment horizontal="center" vertical="center" wrapText="1"/>
    </xf>
    <xf numFmtId="2" fontId="0" fillId="0" borderId="32" xfId="0" applyNumberFormat="1" applyBorder="1" applyAlignment="1">
      <alignment horizontal="right" vertical="center" wrapText="1" indent="3"/>
    </xf>
    <xf numFmtId="166" fontId="0" fillId="0" borderId="32" xfId="0" applyNumberFormat="1" applyBorder="1" applyAlignment="1">
      <alignment horizontal="right" vertical="center" wrapText="1" indent="3"/>
    </xf>
    <xf numFmtId="166" fontId="0" fillId="0" borderId="75" xfId="0" applyNumberFormat="1" applyBorder="1" applyAlignment="1">
      <alignment horizontal="right" vertical="center" wrapText="1" indent="3"/>
    </xf>
    <xf numFmtId="2" fontId="0" fillId="0" borderId="78" xfId="0" applyNumberFormat="1" applyBorder="1" applyAlignment="1">
      <alignment horizontal="right" vertical="center" wrapText="1" indent="3"/>
    </xf>
    <xf numFmtId="166" fontId="0" fillId="0" borderId="78" xfId="0" applyNumberFormat="1" applyBorder="1" applyAlignment="1">
      <alignment horizontal="right" vertical="center" wrapText="1" indent="3"/>
    </xf>
    <xf numFmtId="166" fontId="0" fillId="0" borderId="79" xfId="0" applyNumberFormat="1" applyBorder="1" applyAlignment="1">
      <alignment horizontal="right" vertical="center" wrapText="1" indent="3"/>
    </xf>
    <xf numFmtId="0" fontId="0" fillId="8" borderId="32" xfId="0" applyFill="1" applyBorder="1" applyAlignment="1">
      <alignment horizontal="right" vertical="center" wrapText="1" indent="3"/>
    </xf>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58" xfId="0" applyBorder="1" applyAlignment="1">
      <alignment vertical="center" wrapText="1"/>
    </xf>
    <xf numFmtId="0" fontId="1" fillId="9" borderId="63" xfId="0" applyFont="1" applyFill="1" applyBorder="1" applyAlignment="1">
      <alignment horizontal="center" vertical="center" wrapText="1"/>
    </xf>
    <xf numFmtId="166" fontId="0" fillId="0" borderId="63" xfId="0" applyNumberFormat="1" applyBorder="1" applyAlignment="1">
      <alignment horizontal="right" vertical="center" wrapText="1" indent="3"/>
    </xf>
    <xf numFmtId="0" fontId="0" fillId="0" borderId="80" xfId="0" applyBorder="1" applyAlignment="1">
      <alignment horizontal="right" vertical="center" wrapText="1" indent="3"/>
    </xf>
    <xf numFmtId="0" fontId="0" fillId="0" borderId="0" xfId="0" applyAlignment="1">
      <alignment vertical="center" wrapText="1"/>
    </xf>
    <xf numFmtId="0" fontId="0" fillId="0" borderId="0" xfId="0"/>
    <xf numFmtId="0" fontId="8" fillId="0" borderId="0" xfId="0" applyFont="1" applyAlignment="1" applyProtection="1">
      <alignment horizontal="left" vertical="center"/>
    </xf>
    <xf numFmtId="0" fontId="0" fillId="0" borderId="0" xfId="0"/>
    <xf numFmtId="0" fontId="0" fillId="0" borderId="0" xfId="0" quotePrefix="1" applyAlignment="1">
      <alignment vertical="center" wrapText="1"/>
    </xf>
    <xf numFmtId="0" fontId="0" fillId="10" borderId="8" xfId="0" applyFill="1" applyBorder="1" applyAlignment="1">
      <alignment horizontal="center" vertical="center" wrapText="1"/>
    </xf>
    <xf numFmtId="0" fontId="0" fillId="11" borderId="8" xfId="0" applyFill="1" applyBorder="1" applyAlignment="1">
      <alignment horizontal="center" vertical="center" wrapText="1"/>
    </xf>
    <xf numFmtId="0" fontId="0" fillId="0" borderId="0" xfId="0" applyAlignment="1">
      <alignment horizontal="center" vertical="center"/>
    </xf>
    <xf numFmtId="0" fontId="0" fillId="0" borderId="37" xfId="0" applyBorder="1" applyAlignment="1">
      <alignment horizontal="center" vertical="center"/>
    </xf>
    <xf numFmtId="0" fontId="1" fillId="20" borderId="32" xfId="0" applyFont="1" applyFill="1" applyBorder="1" applyAlignment="1">
      <alignment horizontal="center" vertical="center"/>
    </xf>
    <xf numFmtId="0" fontId="2" fillId="10" borderId="41" xfId="0" applyFont="1" applyFill="1" applyBorder="1" applyAlignment="1">
      <alignment horizontal="center" vertical="center" wrapText="1"/>
    </xf>
    <xf numFmtId="164" fontId="0" fillId="0" borderId="96" xfId="0" applyNumberFormat="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0" fontId="0" fillId="10" borderId="35" xfId="0" applyFill="1" applyBorder="1" applyAlignment="1" applyProtection="1">
      <alignment horizontal="center" vertical="center"/>
    </xf>
    <xf numFmtId="10" fontId="1" fillId="9" borderId="4" xfId="0" applyNumberFormat="1" applyFont="1" applyFill="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98" xfId="0" applyFont="1" applyBorder="1" applyAlignment="1" applyProtection="1">
      <alignment horizontal="center" vertical="center"/>
      <protection locked="0"/>
    </xf>
    <xf numFmtId="0" fontId="0" fillId="10" borderId="36" xfId="0" applyFill="1" applyBorder="1" applyAlignment="1" applyProtection="1">
      <alignment horizontal="center" vertical="center"/>
    </xf>
    <xf numFmtId="10" fontId="10" fillId="9" borderId="6" xfId="0" applyNumberFormat="1" applyFont="1" applyFill="1" applyBorder="1" applyAlignment="1" applyProtection="1">
      <alignment horizontal="center" vertical="center"/>
    </xf>
    <xf numFmtId="170" fontId="1" fillId="0" borderId="4" xfId="0" applyNumberFormat="1" applyFont="1" applyBorder="1" applyAlignment="1" applyProtection="1">
      <alignment horizontal="center" vertical="center"/>
      <protection locked="0"/>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0" fillId="0" borderId="0" xfId="0" applyBorder="1" applyAlignment="1" applyProtection="1">
      <alignment horizontal="left" vertical="center"/>
    </xf>
    <xf numFmtId="0" fontId="8" fillId="0" borderId="0" xfId="0" quotePrefix="1" applyFont="1" applyAlignment="1">
      <alignment horizontal="right" vertical="center"/>
    </xf>
    <xf numFmtId="0" fontId="1" fillId="10" borderId="82" xfId="0" applyFont="1" applyFill="1" applyBorder="1" applyAlignment="1">
      <alignment horizontal="right" vertical="center" wrapText="1"/>
    </xf>
    <xf numFmtId="0" fontId="0" fillId="10" borderId="35" xfId="0" applyFill="1" applyBorder="1" applyAlignment="1">
      <alignment horizontal="center" vertical="center"/>
    </xf>
    <xf numFmtId="0" fontId="1" fillId="10" borderId="35" xfId="0" applyFont="1" applyFill="1" applyBorder="1" applyAlignment="1">
      <alignment horizontal="right" wrapText="1"/>
    </xf>
    <xf numFmtId="10" fontId="1" fillId="9" borderId="4" xfId="0" applyNumberFormat="1" applyFont="1" applyFill="1" applyBorder="1" applyAlignment="1">
      <alignment horizontal="center" vertical="center"/>
    </xf>
    <xf numFmtId="10" fontId="1" fillId="0" borderId="5" xfId="0" applyNumberFormat="1"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10" fontId="1" fillId="0" borderId="14" xfId="0" applyNumberFormat="1" applyFont="1" applyBorder="1" applyAlignment="1" applyProtection="1">
      <alignment horizontal="center" vertical="center"/>
      <protection locked="0"/>
    </xf>
    <xf numFmtId="10" fontId="1" fillId="10" borderId="4" xfId="0" applyNumberFormat="1" applyFont="1" applyFill="1" applyBorder="1" applyAlignment="1">
      <alignment horizontal="right" vertical="center" wrapText="1"/>
    </xf>
    <xf numFmtId="0" fontId="0" fillId="0" borderId="81" xfId="0" applyBorder="1" applyAlignment="1">
      <alignment vertical="center" wrapText="1"/>
    </xf>
    <xf numFmtId="0" fontId="0" fillId="0" borderId="34" xfId="0" applyBorder="1" applyAlignment="1">
      <alignment vertical="center" wrapText="1"/>
    </xf>
    <xf numFmtId="0" fontId="1" fillId="13" borderId="81" xfId="0" applyFont="1" applyFill="1" applyBorder="1" applyAlignment="1">
      <alignment vertical="center"/>
    </xf>
    <xf numFmtId="0" fontId="1" fillId="13" borderId="34" xfId="0" applyFont="1" applyFill="1" applyBorder="1" applyAlignment="1">
      <alignment vertical="center"/>
    </xf>
    <xf numFmtId="0" fontId="0" fillId="0" borderId="81" xfId="0" applyBorder="1" applyAlignment="1">
      <alignment vertical="center"/>
    </xf>
    <xf numFmtId="0" fontId="0" fillId="0" borderId="34" xfId="0" applyBorder="1" applyAlignment="1">
      <alignment vertical="center"/>
    </xf>
    <xf numFmtId="0" fontId="1" fillId="10" borderId="35" xfId="0" applyFont="1" applyFill="1" applyBorder="1" applyAlignment="1" applyProtection="1">
      <alignment vertical="center"/>
    </xf>
    <xf numFmtId="164" fontId="10" fillId="18" borderId="36" xfId="0" applyNumberFormat="1" applyFont="1" applyFill="1" applyBorder="1" applyAlignment="1" applyProtection="1">
      <alignment horizontal="right" vertical="center" wrapText="1" indent="2"/>
    </xf>
    <xf numFmtId="0" fontId="1" fillId="10" borderId="4" xfId="0" applyFont="1" applyFill="1" applyBorder="1" applyAlignment="1" applyProtection="1">
      <alignment vertical="center"/>
    </xf>
    <xf numFmtId="164" fontId="0" fillId="12" borderId="5" xfId="0" applyNumberFormat="1" applyFill="1" applyBorder="1" applyAlignment="1" applyProtection="1">
      <alignment horizontal="right" vertical="center" wrapText="1" indent="1"/>
    </xf>
    <xf numFmtId="165" fontId="0" fillId="12" borderId="5" xfId="0" applyNumberFormat="1" applyFill="1" applyBorder="1" applyAlignment="1" applyProtection="1">
      <alignment horizontal="center" vertical="center" wrapText="1"/>
    </xf>
    <xf numFmtId="164" fontId="0" fillId="12" borderId="5" xfId="0" applyNumberFormat="1" applyFill="1" applyBorder="1" applyAlignment="1" applyProtection="1">
      <alignment horizontal="center" vertical="center" wrapText="1"/>
    </xf>
    <xf numFmtId="164" fontId="1" fillId="12" borderId="5" xfId="0" applyNumberFormat="1" applyFont="1" applyFill="1" applyBorder="1" applyAlignment="1" applyProtection="1">
      <alignment horizontal="center" vertical="center" wrapText="1"/>
    </xf>
    <xf numFmtId="10" fontId="1" fillId="12" borderId="5" xfId="0" applyNumberFormat="1" applyFont="1" applyFill="1" applyBorder="1" applyAlignment="1" applyProtection="1">
      <alignment horizontal="center" vertical="center" wrapText="1"/>
    </xf>
    <xf numFmtId="0" fontId="1" fillId="11" borderId="36" xfId="0" applyFont="1" applyFill="1" applyBorder="1" applyAlignment="1" applyProtection="1">
      <alignment horizontal="center" vertical="center" wrapText="1"/>
    </xf>
    <xf numFmtId="10" fontId="10" fillId="12" borderId="5" xfId="0" applyNumberFormat="1" applyFont="1" applyFill="1" applyBorder="1" applyAlignment="1" applyProtection="1">
      <alignment horizontal="center" vertical="center" wrapText="1"/>
    </xf>
    <xf numFmtId="0" fontId="1" fillId="10" borderId="35" xfId="0" applyFont="1" applyFill="1" applyBorder="1" applyAlignment="1">
      <alignment vertical="center"/>
    </xf>
    <xf numFmtId="0" fontId="1" fillId="10" borderId="4" xfId="0" applyFont="1" applyFill="1" applyBorder="1" applyAlignment="1">
      <alignment vertical="center"/>
    </xf>
    <xf numFmtId="164" fontId="0" fillId="12" borderId="5" xfId="0" applyNumberFormat="1" applyFill="1" applyBorder="1" applyAlignment="1">
      <alignment horizontal="right" vertical="center" wrapText="1" indent="1"/>
    </xf>
    <xf numFmtId="165" fontId="0" fillId="12" borderId="5" xfId="0" applyNumberFormat="1" applyFill="1" applyBorder="1" applyAlignment="1">
      <alignment horizontal="center" vertical="center" wrapText="1"/>
    </xf>
    <xf numFmtId="164" fontId="0" fillId="12" borderId="5" xfId="0" applyNumberFormat="1" applyFill="1" applyBorder="1" applyAlignment="1">
      <alignment horizontal="center" vertical="center" wrapText="1"/>
    </xf>
    <xf numFmtId="10" fontId="1" fillId="12" borderId="5" xfId="0" applyNumberFormat="1" applyFont="1" applyFill="1" applyBorder="1" applyAlignment="1">
      <alignment horizontal="center" vertical="center" wrapText="1"/>
    </xf>
    <xf numFmtId="0" fontId="1" fillId="10" borderId="3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0" fillId="0" borderId="0" xfId="0" applyAlignment="1">
      <alignment vertical="center" wrapText="1"/>
    </xf>
    <xf numFmtId="0" fontId="0" fillId="0" borderId="0" xfId="0"/>
    <xf numFmtId="0" fontId="12" fillId="0" borderId="0" xfId="0" applyFont="1" applyAlignment="1" applyProtection="1">
      <alignment vertical="center"/>
    </xf>
    <xf numFmtId="0" fontId="0" fillId="0" borderId="0" xfId="0"/>
    <xf numFmtId="0" fontId="0" fillId="0" borderId="0" xfId="0" applyAlignment="1">
      <alignment vertical="top" wrapText="1"/>
    </xf>
    <xf numFmtId="0" fontId="32" fillId="0" borderId="105" xfId="0" quotePrefix="1" applyFont="1" applyBorder="1"/>
    <xf numFmtId="0" fontId="32" fillId="0" borderId="105" xfId="0" applyFont="1" applyBorder="1"/>
    <xf numFmtId="0" fontId="0" fillId="0" borderId="105" xfId="0" applyBorder="1"/>
    <xf numFmtId="0" fontId="0" fillId="0" borderId="106" xfId="0" applyBorder="1"/>
    <xf numFmtId="0" fontId="33" fillId="0" borderId="106" xfId="0" quotePrefix="1" applyFont="1" applyBorder="1"/>
    <xf numFmtId="0" fontId="33" fillId="0" borderId="106" xfId="0" applyFont="1" applyBorder="1"/>
    <xf numFmtId="0" fontId="0" fillId="0" borderId="0" xfId="0" applyAlignment="1">
      <alignment horizontal="left" wrapText="1"/>
    </xf>
    <xf numFmtId="0" fontId="0" fillId="0" borderId="0" xfId="0" applyAlignment="1">
      <alignment horizontal="left"/>
    </xf>
    <xf numFmtId="0" fontId="34" fillId="0" borderId="107" xfId="0" quotePrefix="1" applyFont="1" applyBorder="1"/>
    <xf numFmtId="0" fontId="26" fillId="0" borderId="0" xfId="6"/>
    <xf numFmtId="0" fontId="0" fillId="0" borderId="0" xfId="0"/>
    <xf numFmtId="10" fontId="9" fillId="0" borderId="20" xfId="0" applyNumberFormat="1" applyFont="1" applyBorder="1" applyAlignment="1" applyProtection="1">
      <alignment horizontal="center" vertical="center"/>
      <protection locked="0"/>
    </xf>
    <xf numFmtId="0" fontId="1" fillId="10" borderId="35" xfId="0" applyFont="1" applyFill="1" applyBorder="1" applyAlignment="1" applyProtection="1">
      <alignment horizontal="center" vertical="center" wrapText="1"/>
    </xf>
    <xf numFmtId="164" fontId="38" fillId="12" borderId="5" xfId="0" applyNumberFormat="1" applyFont="1" applyFill="1" applyBorder="1" applyAlignment="1" applyProtection="1">
      <alignment horizontal="center" vertical="center" wrapText="1"/>
    </xf>
    <xf numFmtId="164" fontId="38" fillId="12" borderId="6" xfId="0" applyNumberFormat="1" applyFont="1" applyFill="1" applyBorder="1" applyAlignment="1" applyProtection="1">
      <alignment horizontal="center" vertical="center" wrapText="1"/>
    </xf>
    <xf numFmtId="164" fontId="39" fillId="12" borderId="5" xfId="0" applyNumberFormat="1" applyFont="1" applyFill="1" applyBorder="1" applyAlignment="1" applyProtection="1">
      <alignment horizontal="center" vertical="center" wrapText="1"/>
    </xf>
    <xf numFmtId="164" fontId="39" fillId="12" borderId="6" xfId="0" applyNumberFormat="1" applyFont="1" applyFill="1" applyBorder="1" applyAlignment="1" applyProtection="1">
      <alignment horizontal="center" vertical="center" wrapText="1"/>
    </xf>
    <xf numFmtId="168" fontId="3" fillId="9" borderId="0" xfId="0" applyNumberFormat="1" applyFont="1" applyFill="1" applyAlignment="1" applyProtection="1">
      <alignment horizontal="left" vertical="center"/>
      <protection locked="0"/>
    </xf>
    <xf numFmtId="0" fontId="1" fillId="0" borderId="0" xfId="0" applyFont="1" applyAlignment="1">
      <alignment vertical="center"/>
    </xf>
    <xf numFmtId="0" fontId="0" fillId="0" borderId="0" xfId="0" applyBorder="1"/>
    <xf numFmtId="14" fontId="25" fillId="0" borderId="0" xfId="0" applyNumberFormat="1" applyFont="1" applyBorder="1" applyAlignment="1" applyProtection="1">
      <alignment horizontal="center" vertical="center"/>
    </xf>
    <xf numFmtId="0" fontId="2" fillId="10" borderId="19" xfId="0" applyFont="1" applyFill="1" applyBorder="1" applyAlignment="1">
      <alignment horizontal="center" vertical="center" wrapText="1"/>
    </xf>
    <xf numFmtId="10" fontId="1" fillId="0" borderId="20" xfId="0" applyNumberFormat="1" applyFont="1" applyBorder="1" applyAlignment="1" applyProtection="1">
      <alignment horizontal="center" vertical="center"/>
      <protection locked="0"/>
    </xf>
    <xf numFmtId="164" fontId="1" fillId="0" borderId="96" xfId="0" applyNumberFormat="1" applyFont="1" applyBorder="1" applyAlignment="1" applyProtection="1">
      <alignment horizontal="right" vertical="center" indent="1"/>
      <protection locked="0"/>
    </xf>
    <xf numFmtId="10" fontId="0" fillId="9" borderId="4" xfId="0" applyNumberFormat="1" applyFill="1" applyBorder="1" applyAlignment="1">
      <alignment horizontal="center" vertical="center"/>
    </xf>
    <xf numFmtId="0" fontId="1" fillId="0" borderId="18" xfId="0" applyFont="1" applyBorder="1" applyAlignment="1" applyProtection="1">
      <alignment horizontal="center" vertical="center"/>
      <protection locked="0"/>
    </xf>
    <xf numFmtId="0" fontId="1" fillId="10" borderId="4" xfId="0" applyFont="1" applyFill="1" applyBorder="1" applyAlignment="1">
      <alignment horizontal="center" wrapText="1"/>
    </xf>
    <xf numFmtId="165" fontId="1" fillId="0" borderId="6" xfId="0" applyNumberFormat="1" applyFont="1" applyBorder="1" applyAlignment="1" applyProtection="1">
      <alignment horizontal="right" vertical="center" indent="1"/>
      <protection locked="0"/>
    </xf>
    <xf numFmtId="0" fontId="27" fillId="10" borderId="35" xfId="0" applyFont="1" applyFill="1" applyBorder="1" applyAlignment="1">
      <alignment horizontal="center" wrapText="1"/>
    </xf>
    <xf numFmtId="0" fontId="27" fillId="10" borderId="36" xfId="0" applyFont="1" applyFill="1" applyBorder="1" applyAlignment="1">
      <alignment horizontal="center" wrapText="1"/>
    </xf>
    <xf numFmtId="167" fontId="1" fillId="0" borderId="4"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2" fontId="0" fillId="8" borderId="32" xfId="0" applyNumberFormat="1" applyFill="1" applyBorder="1" applyAlignment="1">
      <alignment horizontal="right" vertical="center" wrapText="1" indent="3"/>
    </xf>
    <xf numFmtId="166" fontId="0" fillId="8" borderId="32" xfId="0" applyNumberFormat="1" applyFill="1" applyBorder="1" applyAlignment="1">
      <alignment horizontal="right" vertical="center" wrapText="1" indent="3"/>
    </xf>
    <xf numFmtId="166" fontId="0" fillId="8" borderId="75" xfId="0" applyNumberFormat="1" applyFill="1" applyBorder="1" applyAlignment="1">
      <alignment horizontal="right" vertical="center" wrapText="1" indent="3"/>
    </xf>
    <xf numFmtId="0" fontId="0" fillId="8" borderId="77" xfId="0" applyFill="1" applyBorder="1" applyAlignment="1">
      <alignment horizontal="right" vertical="center" wrapText="1" indent="3"/>
    </xf>
    <xf numFmtId="2" fontId="0" fillId="0" borderId="78" xfId="0" applyNumberFormat="1" applyBorder="1" applyAlignment="1">
      <alignment horizontal="right" vertical="center" wrapText="1" indent="2"/>
    </xf>
    <xf numFmtId="166" fontId="0" fillId="0" borderId="54" xfId="0" applyNumberFormat="1" applyBorder="1" applyAlignment="1" applyProtection="1">
      <alignment horizontal="right" vertical="center" wrapText="1" indent="3"/>
    </xf>
    <xf numFmtId="166" fontId="0" fillId="0" borderId="108" xfId="0" applyNumberFormat="1" applyBorder="1" applyAlignment="1" applyProtection="1">
      <alignment horizontal="right" vertical="center" wrapText="1" indent="3"/>
    </xf>
    <xf numFmtId="49" fontId="0" fillId="0" borderId="0" xfId="0" applyNumberFormat="1"/>
    <xf numFmtId="2" fontId="0" fillId="8" borderId="110" xfId="0" applyNumberFormat="1" applyFill="1" applyBorder="1" applyAlignment="1">
      <alignment horizontal="right" vertical="center" wrapText="1" indent="3"/>
    </xf>
    <xf numFmtId="166" fontId="0" fillId="8" borderId="110" xfId="0" applyNumberFormat="1" applyFill="1" applyBorder="1" applyAlignment="1">
      <alignment horizontal="right" vertical="center" wrapText="1" indent="3"/>
    </xf>
    <xf numFmtId="166" fontId="0" fillId="8" borderId="109" xfId="0" applyNumberFormat="1" applyFill="1" applyBorder="1" applyAlignment="1">
      <alignment horizontal="right" vertical="center" wrapText="1" indent="3"/>
    </xf>
    <xf numFmtId="0" fontId="0" fillId="0" borderId="111" xfId="0" applyBorder="1" applyAlignment="1" applyProtection="1">
      <alignment horizontal="right" vertical="center" wrapText="1" indent="3"/>
    </xf>
    <xf numFmtId="0" fontId="0" fillId="0" borderId="0" xfId="0" applyAlignment="1">
      <alignment horizontal="left" vertical="top" wrapText="1"/>
    </xf>
    <xf numFmtId="0" fontId="0" fillId="0" borderId="0" xfId="0" applyAlignment="1">
      <alignment horizontal="left" vertical="center"/>
    </xf>
    <xf numFmtId="0" fontId="17" fillId="0" borderId="33" xfId="0" applyFont="1" applyBorder="1"/>
    <xf numFmtId="0" fontId="0" fillId="0" borderId="0" xfId="0" applyAlignment="1">
      <alignment vertical="center" wrapText="1"/>
    </xf>
    <xf numFmtId="0" fontId="0" fillId="0" borderId="0" xfId="0" applyAlignment="1">
      <alignment horizontal="left" vertical="center" wrapText="1" indent="2"/>
    </xf>
    <xf numFmtId="0" fontId="0" fillId="0" borderId="0" xfId="0" quotePrefix="1" applyAlignment="1">
      <alignment horizontal="left" vertical="center" wrapText="1" indent="6"/>
    </xf>
    <xf numFmtId="0" fontId="0" fillId="0" borderId="85" xfId="0" applyBorder="1" applyAlignment="1">
      <alignment horizontal="left" vertical="top" wrapText="1"/>
    </xf>
    <xf numFmtId="0" fontId="0" fillId="0" borderId="0" xfId="0" applyAlignment="1">
      <alignment vertical="top" wrapText="1"/>
    </xf>
    <xf numFmtId="0" fontId="0" fillId="0" borderId="0" xfId="0" applyAlignment="1">
      <alignment horizontal="left" vertical="center" wrapText="1"/>
    </xf>
    <xf numFmtId="0" fontId="0" fillId="0" borderId="85" xfId="0" applyBorder="1" applyAlignment="1">
      <alignment horizontal="left" vertical="center" wrapText="1"/>
    </xf>
    <xf numFmtId="0" fontId="0" fillId="0" borderId="0" xfId="0" quotePrefix="1" applyBorder="1" applyAlignment="1">
      <alignment horizontal="left" vertical="top" wrapText="1" indent="2"/>
    </xf>
    <xf numFmtId="0" fontId="0" fillId="0" borderId="0" xfId="0" applyBorder="1" applyAlignment="1">
      <alignment horizontal="left" vertical="top" wrapText="1" indent="2"/>
    </xf>
    <xf numFmtId="0" fontId="36" fillId="0" borderId="0" xfId="0" quotePrefix="1" applyFont="1" applyBorder="1" applyAlignment="1">
      <alignment horizontal="left" vertical="top" wrapText="1"/>
    </xf>
    <xf numFmtId="0" fontId="0" fillId="0" borderId="0" xfId="0" applyAlignment="1">
      <alignment horizontal="left" vertical="center" wrapText="1" indent="6"/>
    </xf>
    <xf numFmtId="0" fontId="18" fillId="0" borderId="0" xfId="0" applyFont="1" applyAlignment="1">
      <alignment horizontal="center" vertical="center"/>
    </xf>
    <xf numFmtId="0" fontId="2" fillId="0" borderId="0" xfId="0" applyFont="1" applyAlignment="1">
      <alignment horizontal="center"/>
    </xf>
    <xf numFmtId="0" fontId="0" fillId="0" borderId="0" xfId="0" applyAlignment="1">
      <alignment wrapText="1"/>
    </xf>
    <xf numFmtId="0" fontId="0" fillId="0" borderId="0" xfId="0"/>
    <xf numFmtId="0" fontId="0" fillId="0" borderId="0" xfId="0" quotePrefix="1" applyAlignment="1">
      <alignment horizontal="left" indent="1"/>
    </xf>
    <xf numFmtId="0" fontId="0" fillId="0" borderId="0" xfId="0" applyAlignment="1">
      <alignment horizontal="left" indent="1"/>
    </xf>
    <xf numFmtId="0" fontId="0" fillId="0" borderId="0" xfId="0" quotePrefix="1" applyAlignment="1">
      <alignment horizontal="left" vertical="top" wrapText="1" indent="1"/>
    </xf>
    <xf numFmtId="0" fontId="0" fillId="0" borderId="0" xfId="0" quotePrefix="1" applyAlignment="1">
      <alignment horizontal="left" vertical="top" wrapText="1"/>
    </xf>
    <xf numFmtId="0" fontId="34" fillId="0" borderId="107" xfId="0" applyFont="1" applyBorder="1"/>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vertical="top" wrapText="1" indent="2"/>
    </xf>
    <xf numFmtId="0" fontId="0" fillId="0" borderId="8" xfId="0" applyBorder="1" applyAlignment="1" applyProtection="1">
      <alignment horizontal="center" vertical="center" wrapText="1"/>
    </xf>
    <xf numFmtId="0" fontId="0" fillId="0" borderId="8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0" borderId="85" xfId="0" applyBorder="1" applyAlignment="1" applyProtection="1">
      <alignment horizontal="left" vertical="center"/>
    </xf>
    <xf numFmtId="0" fontId="8" fillId="0" borderId="0" xfId="0" applyFont="1" applyAlignment="1" applyProtection="1">
      <alignment horizontal="left" vertical="center"/>
    </xf>
    <xf numFmtId="0" fontId="2" fillId="10" borderId="1" xfId="0" applyFont="1" applyFill="1" applyBorder="1" applyAlignment="1" applyProtection="1">
      <alignment horizontal="center" vertical="center" wrapText="1"/>
    </xf>
    <xf numFmtId="0" fontId="2" fillId="10" borderId="2" xfId="0" applyFont="1" applyFill="1" applyBorder="1" applyAlignment="1" applyProtection="1">
      <alignment horizontal="center" vertical="center"/>
    </xf>
    <xf numFmtId="0" fontId="2" fillId="10" borderId="3" xfId="0" applyFont="1" applyFill="1" applyBorder="1" applyAlignment="1" applyProtection="1">
      <alignment horizontal="center" vertical="center"/>
    </xf>
    <xf numFmtId="0" fontId="0" fillId="11" borderId="2" xfId="0" applyFill="1" applyBorder="1" applyAlignment="1" applyProtection="1">
      <alignment horizontal="center" vertical="center" wrapText="1"/>
    </xf>
    <xf numFmtId="0" fontId="0" fillId="11" borderId="32" xfId="0" applyFill="1" applyBorder="1" applyAlignment="1" applyProtection="1">
      <alignment horizontal="center" vertical="center" wrapText="1"/>
    </xf>
    <xf numFmtId="0" fontId="1" fillId="10" borderId="81" xfId="0" applyFont="1" applyFill="1" applyBorder="1" applyAlignment="1" applyProtection="1">
      <alignment horizontal="center" vertical="center" wrapText="1"/>
    </xf>
    <xf numFmtId="0" fontId="1" fillId="10" borderId="34" xfId="0" applyFont="1" applyFill="1" applyBorder="1" applyAlignment="1" applyProtection="1">
      <alignment horizontal="center" vertical="center"/>
    </xf>
    <xf numFmtId="167" fontId="1" fillId="0" borderId="97" xfId="0" applyNumberFormat="1" applyFont="1" applyBorder="1" applyAlignment="1" applyProtection="1">
      <alignment horizontal="center" vertical="center"/>
      <protection locked="0"/>
    </xf>
    <xf numFmtId="167" fontId="1" fillId="0" borderId="98" xfId="0" applyNumberFormat="1" applyFont="1" applyBorder="1" applyAlignment="1" applyProtection="1">
      <alignment horizontal="center" vertical="center"/>
      <protection locked="0"/>
    </xf>
    <xf numFmtId="0" fontId="1" fillId="10" borderId="84" xfId="0" applyFont="1" applyFill="1" applyBorder="1" applyAlignment="1" applyProtection="1">
      <alignment horizontal="center" vertical="center"/>
    </xf>
    <xf numFmtId="2" fontId="1" fillId="0" borderId="97" xfId="0" applyNumberFormat="1" applyFont="1" applyBorder="1" applyAlignment="1" applyProtection="1">
      <alignment horizontal="center" vertical="center"/>
      <protection locked="0"/>
    </xf>
    <xf numFmtId="2" fontId="1" fillId="0" borderId="99" xfId="0" applyNumberFormat="1" applyFont="1" applyBorder="1" applyAlignment="1" applyProtection="1">
      <alignment horizontal="center" vertical="center"/>
      <protection locked="0"/>
    </xf>
    <xf numFmtId="0" fontId="0" fillId="11" borderId="101" xfId="0" quotePrefix="1" applyFill="1" applyBorder="1" applyAlignment="1" applyProtection="1">
      <alignment horizontal="center" vertical="center" wrapText="1"/>
    </xf>
    <xf numFmtId="0" fontId="0" fillId="11" borderId="100" xfId="0" quotePrefix="1" applyFill="1" applyBorder="1" applyAlignment="1" applyProtection="1">
      <alignment horizontal="center" vertical="center" wrapText="1"/>
    </xf>
    <xf numFmtId="0" fontId="0" fillId="11" borderId="101" xfId="0" applyFill="1" applyBorder="1" applyAlignment="1" applyProtection="1">
      <alignment horizontal="center" vertical="center" wrapText="1"/>
    </xf>
    <xf numFmtId="0" fontId="0" fillId="11" borderId="103" xfId="0" applyFill="1" applyBorder="1" applyAlignment="1" applyProtection="1">
      <alignment horizontal="center" vertical="center" wrapText="1"/>
    </xf>
    <xf numFmtId="0" fontId="5" fillId="0" borderId="0" xfId="0" applyFont="1" applyAlignment="1" applyProtection="1">
      <alignment horizontal="left" vertical="center"/>
    </xf>
    <xf numFmtId="0" fontId="17" fillId="0" borderId="0" xfId="0" applyFont="1" applyAlignment="1" applyProtection="1">
      <alignment horizontal="left" vertical="center"/>
    </xf>
    <xf numFmtId="10" fontId="1" fillId="0" borderId="0" xfId="0" applyNumberFormat="1" applyFont="1" applyBorder="1" applyAlignment="1" applyProtection="1">
      <alignment horizontal="left" vertical="center"/>
    </xf>
    <xf numFmtId="0" fontId="11" fillId="0" borderId="0" xfId="0" applyFont="1" applyBorder="1" applyAlignment="1" applyProtection="1">
      <alignment horizontal="left" vertical="center"/>
    </xf>
    <xf numFmtId="0" fontId="1" fillId="0" borderId="8" xfId="0" applyFont="1" applyFill="1" applyBorder="1" applyAlignment="1" applyProtection="1">
      <alignment horizontal="center" vertical="center" wrapText="1"/>
      <protection locked="0"/>
    </xf>
    <xf numFmtId="0" fontId="1" fillId="0" borderId="88"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88" xfId="0" applyFill="1" applyBorder="1" applyAlignment="1" applyProtection="1">
      <alignment horizontal="center" vertical="center" wrapText="1"/>
      <protection locked="0"/>
    </xf>
    <xf numFmtId="0" fontId="20" fillId="0" borderId="27" xfId="0" applyFont="1" applyBorder="1" applyAlignment="1" applyProtection="1">
      <alignment horizontal="center" vertical="center" wrapText="1"/>
    </xf>
    <xf numFmtId="0" fontId="20" fillId="0" borderId="82" xfId="0" applyFont="1" applyBorder="1" applyAlignment="1" applyProtection="1">
      <alignment horizontal="center" vertical="center" wrapText="1"/>
    </xf>
    <xf numFmtId="0" fontId="2" fillId="10" borderId="1" xfId="0" applyFont="1" applyFill="1" applyBorder="1" applyAlignment="1" applyProtection="1">
      <alignment horizontal="center" vertical="center"/>
    </xf>
    <xf numFmtId="0" fontId="2" fillId="10" borderId="100" xfId="0" applyFont="1" applyFill="1" applyBorder="1" applyAlignment="1" applyProtection="1">
      <alignment horizontal="center" vertical="center" wrapText="1"/>
    </xf>
    <xf numFmtId="0" fontId="2" fillId="10" borderId="34" xfId="0" applyFont="1" applyFill="1" applyBorder="1" applyAlignment="1" applyProtection="1">
      <alignment horizontal="center" vertical="center" wrapText="1"/>
    </xf>
    <xf numFmtId="0" fontId="0" fillId="10" borderId="100" xfId="0" applyFill="1" applyBorder="1" applyAlignment="1" applyProtection="1">
      <alignment horizontal="center" vertical="center" wrapText="1"/>
    </xf>
    <xf numFmtId="0" fontId="0" fillId="10" borderId="34" xfId="0" applyFill="1" applyBorder="1" applyAlignment="1" applyProtection="1">
      <alignment horizontal="center" vertical="center" wrapText="1"/>
    </xf>
    <xf numFmtId="0" fontId="0" fillId="10" borderId="2" xfId="0" applyFill="1" applyBorder="1" applyAlignment="1" applyProtection="1">
      <alignment horizontal="center" vertical="center" wrapText="1"/>
    </xf>
    <xf numFmtId="0" fontId="0" fillId="10" borderId="32" xfId="0" applyFill="1" applyBorder="1" applyAlignment="1" applyProtection="1">
      <alignment horizontal="center" vertical="center" wrapText="1"/>
    </xf>
    <xf numFmtId="0" fontId="2" fillId="10" borderId="87" xfId="0" applyFont="1" applyFill="1" applyBorder="1" applyAlignment="1" applyProtection="1">
      <alignment horizontal="center" vertical="center" wrapText="1"/>
    </xf>
    <xf numFmtId="0" fontId="2" fillId="10" borderId="37" xfId="0" applyFont="1" applyFill="1" applyBorder="1" applyAlignment="1" applyProtection="1">
      <alignment horizontal="center" vertical="center" wrapText="1"/>
    </xf>
    <xf numFmtId="0" fontId="0" fillId="11" borderId="87" xfId="0" applyFill="1" applyBorder="1" applyAlignment="1" applyProtection="1">
      <alignment horizontal="center" vertical="center" wrapText="1"/>
    </xf>
    <xf numFmtId="0" fontId="0" fillId="11" borderId="37" xfId="0" applyFill="1" applyBorder="1" applyAlignment="1" applyProtection="1">
      <alignment horizontal="center" vertical="center" wrapText="1"/>
    </xf>
    <xf numFmtId="0" fontId="37" fillId="21" borderId="0" xfId="0" applyFont="1" applyFill="1" applyAlignment="1" applyProtection="1">
      <alignment horizontal="center"/>
    </xf>
    <xf numFmtId="0" fontId="11" fillId="0" borderId="0" xfId="0" applyFont="1" applyBorder="1" applyAlignment="1" applyProtection="1">
      <alignment horizontal="center" vertical="center"/>
    </xf>
    <xf numFmtId="0" fontId="3" fillId="9" borderId="0" xfId="0" applyFont="1" applyFill="1" applyAlignment="1" applyProtection="1">
      <alignment vertical="center"/>
      <protection locked="0"/>
    </xf>
    <xf numFmtId="0" fontId="9" fillId="9" borderId="0" xfId="0" applyFont="1" applyFill="1" applyAlignment="1" applyProtection="1">
      <alignment vertical="center"/>
      <protection locked="0"/>
    </xf>
    <xf numFmtId="0" fontId="3" fillId="9" borderId="0" xfId="0" applyFont="1" applyFill="1" applyAlignment="1" applyProtection="1">
      <alignment horizontal="left" vertical="center"/>
      <protection locked="0"/>
    </xf>
    <xf numFmtId="0" fontId="0" fillId="0" borderId="32" xfId="0" applyBorder="1" applyAlignment="1" applyProtection="1">
      <alignment horizontal="center" vertical="center" wrapText="1"/>
    </xf>
    <xf numFmtId="3" fontId="0" fillId="0" borderId="32" xfId="0" applyNumberFormat="1" applyFill="1" applyBorder="1" applyAlignment="1" applyProtection="1">
      <alignment horizontal="center" vertical="center" wrapText="1"/>
      <protection locked="0"/>
    </xf>
    <xf numFmtId="3" fontId="0" fillId="0" borderId="5" xfId="0" applyNumberFormat="1" applyFill="1" applyBorder="1" applyAlignment="1" applyProtection="1">
      <alignment horizontal="center" vertical="center" wrapText="1"/>
      <protection locked="0"/>
    </xf>
    <xf numFmtId="0" fontId="0" fillId="8" borderId="1" xfId="0" applyFill="1" applyBorder="1" applyAlignment="1" applyProtection="1">
      <alignment horizontal="center" vertical="center"/>
    </xf>
    <xf numFmtId="0" fontId="0" fillId="8" borderId="4" xfId="0" applyFill="1" applyBorder="1" applyAlignment="1" applyProtection="1">
      <alignment horizontal="center" vertical="center"/>
    </xf>
    <xf numFmtId="0" fontId="8" fillId="0" borderId="0" xfId="0" applyFont="1" applyAlignment="1">
      <alignment horizontal="left" vertical="center"/>
    </xf>
    <xf numFmtId="0" fontId="2" fillId="10"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1" xfId="0" applyFont="1" applyFill="1" applyBorder="1" applyAlignment="1">
      <alignment horizontal="center" vertical="center" wrapText="1"/>
    </xf>
    <xf numFmtId="0" fontId="2" fillId="10" borderId="81" xfId="0" applyFont="1" applyFill="1" applyBorder="1" applyAlignment="1">
      <alignment horizontal="center" vertical="center" wrapText="1"/>
    </xf>
    <xf numFmtId="0" fontId="14" fillId="0" borderId="0" xfId="0" applyFont="1" applyAlignment="1" applyProtection="1">
      <alignment horizontal="left" vertical="center"/>
    </xf>
    <xf numFmtId="0" fontId="6" fillId="10" borderId="81" xfId="0" applyFont="1" applyFill="1" applyBorder="1" applyAlignment="1" applyProtection="1">
      <alignment horizontal="center" vertical="center" wrapText="1"/>
    </xf>
    <xf numFmtId="0" fontId="6" fillId="10" borderId="91" xfId="0" applyFont="1" applyFill="1" applyBorder="1" applyAlignment="1" applyProtection="1">
      <alignment horizontal="center" vertical="center" wrapText="1"/>
    </xf>
    <xf numFmtId="0" fontId="6" fillId="10" borderId="34" xfId="0" applyFont="1" applyFill="1" applyBorder="1" applyAlignment="1" applyProtection="1">
      <alignment horizontal="center" vertical="center" wrapText="1"/>
    </xf>
    <xf numFmtId="0" fontId="20" fillId="0" borderId="27" xfId="0" applyFont="1" applyBorder="1" applyAlignment="1">
      <alignment horizontal="center" vertical="center" wrapText="1"/>
    </xf>
    <xf numFmtId="0" fontId="20" fillId="0" borderId="82" xfId="0" applyFont="1" applyBorder="1" applyAlignment="1">
      <alignment horizontal="center" vertical="center" wrapText="1"/>
    </xf>
    <xf numFmtId="0" fontId="0" fillId="10" borderId="32" xfId="0" applyFill="1" applyBorder="1" applyAlignment="1">
      <alignment horizontal="center" vertical="center"/>
    </xf>
    <xf numFmtId="10" fontId="1" fillId="9" borderId="5" xfId="0" applyNumberFormat="1" applyFont="1" applyFill="1" applyBorder="1" applyAlignment="1">
      <alignment horizontal="center" vertical="center"/>
    </xf>
    <xf numFmtId="0" fontId="26" fillId="0" borderId="0" xfId="6" applyAlignment="1" applyProtection="1">
      <alignment horizontal="left" vertical="center"/>
      <protection locked="0"/>
    </xf>
    <xf numFmtId="0" fontId="2" fillId="10" borderId="101" xfId="0" applyFont="1" applyFill="1" applyBorder="1" applyAlignment="1">
      <alignment horizontal="center" vertical="center"/>
    </xf>
    <xf numFmtId="0" fontId="2" fillId="10" borderId="17" xfId="0" applyFont="1" applyFill="1" applyBorder="1" applyAlignment="1">
      <alignment horizontal="center" vertical="center" wrapText="1"/>
    </xf>
    <xf numFmtId="0" fontId="2" fillId="10" borderId="94"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03" xfId="0" applyFont="1" applyFill="1" applyBorder="1" applyAlignment="1">
      <alignment horizontal="center" vertical="center" wrapText="1"/>
    </xf>
    <xf numFmtId="0" fontId="0" fillId="10" borderId="81" xfId="0" applyFill="1" applyBorder="1" applyAlignment="1">
      <alignment horizontal="center" vertical="center"/>
    </xf>
    <xf numFmtId="10" fontId="0" fillId="9" borderId="5" xfId="0" applyNumberFormat="1" applyFill="1" applyBorder="1" applyAlignment="1">
      <alignment horizontal="center" vertical="center"/>
    </xf>
    <xf numFmtId="10" fontId="0" fillId="9" borderId="97" xfId="0" applyNumberFormat="1" applyFill="1" applyBorder="1" applyAlignment="1">
      <alignment horizontal="center" vertical="center"/>
    </xf>
    <xf numFmtId="10" fontId="1" fillId="0" borderId="0" xfId="0" applyNumberFormat="1" applyFont="1" applyAlignment="1">
      <alignment horizontal="left" vertical="center"/>
    </xf>
    <xf numFmtId="0" fontId="1" fillId="0" borderId="0" xfId="0" applyFont="1" applyAlignment="1">
      <alignment horizontal="left" vertical="center"/>
    </xf>
    <xf numFmtId="0" fontId="37" fillId="21" borderId="0" xfId="0" applyFont="1" applyFill="1" applyAlignment="1">
      <alignment horizontal="center" vertical="center"/>
    </xf>
    <xf numFmtId="0" fontId="0" fillId="11" borderId="101" xfId="0" applyFill="1" applyBorder="1" applyAlignment="1">
      <alignment horizontal="center" vertical="center" wrapText="1"/>
    </xf>
    <xf numFmtId="0" fontId="0" fillId="11" borderId="10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32" xfId="0" applyFill="1" applyBorder="1" applyAlignment="1">
      <alignment horizontal="center" vertical="center" wrapText="1"/>
    </xf>
    <xf numFmtId="0" fontId="0" fillId="10" borderId="87" xfId="0" applyFill="1" applyBorder="1" applyAlignment="1">
      <alignment horizontal="center" vertical="center" wrapText="1"/>
    </xf>
    <xf numFmtId="0" fontId="0" fillId="10" borderId="37"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87" xfId="0" applyFill="1" applyBorder="1" applyAlignment="1">
      <alignment horizontal="center" vertical="center" wrapText="1"/>
    </xf>
    <xf numFmtId="0" fontId="0" fillId="11" borderId="3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36" xfId="0"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3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3" fontId="0" fillId="0" borderId="32" xfId="0" applyNumberFormat="1" applyBorder="1" applyAlignment="1" applyProtection="1">
      <alignment horizontal="center" vertical="center" wrapText="1"/>
      <protection locked="0"/>
    </xf>
    <xf numFmtId="3" fontId="0" fillId="0" borderId="5" xfId="0" applyNumberFormat="1" applyBorder="1" applyAlignment="1" applyProtection="1">
      <alignment horizontal="center" vertical="center" wrapText="1"/>
      <protection locked="0"/>
    </xf>
    <xf numFmtId="164" fontId="38" fillId="7" borderId="36" xfId="0" applyNumberFormat="1" applyFont="1" applyFill="1" applyBorder="1" applyAlignment="1">
      <alignment horizontal="center" vertical="center" wrapText="1"/>
    </xf>
    <xf numFmtId="164" fontId="38" fillId="7" borderId="6" xfId="0" applyNumberFormat="1" applyFont="1" applyFill="1" applyBorder="1" applyAlignment="1">
      <alignment horizontal="center" vertical="center" wrapText="1"/>
    </xf>
    <xf numFmtId="0" fontId="11" fillId="0" borderId="0" xfId="0" applyFont="1" applyBorder="1" applyAlignment="1">
      <alignment horizontal="left" vertical="center"/>
    </xf>
    <xf numFmtId="49" fontId="0" fillId="0" borderId="0" xfId="0" applyNumberFormat="1" applyAlignment="1">
      <alignment horizontal="left" vertical="top" wrapText="1"/>
    </xf>
    <xf numFmtId="0" fontId="12" fillId="0" borderId="104" xfId="0" applyFont="1" applyBorder="1" applyAlignment="1" applyProtection="1">
      <alignment horizontal="center" vertical="center"/>
    </xf>
    <xf numFmtId="0" fontId="0" fillId="0" borderId="32" xfId="0" applyBorder="1" applyAlignment="1">
      <alignment horizontal="left" vertical="center"/>
    </xf>
    <xf numFmtId="0" fontId="13" fillId="14" borderId="58" xfId="0" applyFont="1" applyFill="1" applyBorder="1" applyAlignment="1">
      <alignment horizontal="center"/>
    </xf>
    <xf numFmtId="0" fontId="13" fillId="14" borderId="0" xfId="0" applyFont="1" applyFill="1" applyAlignment="1">
      <alignment horizontal="center"/>
    </xf>
    <xf numFmtId="0" fontId="13" fillId="14" borderId="59" xfId="0" applyFont="1" applyFill="1" applyBorder="1" applyAlignment="1">
      <alignment horizontal="center"/>
    </xf>
    <xf numFmtId="0" fontId="0" fillId="0" borderId="33" xfId="0" applyBorder="1" applyAlignment="1">
      <alignment horizontal="center" vertical="center"/>
    </xf>
    <xf numFmtId="0" fontId="4" fillId="9" borderId="60" xfId="0" applyFont="1" applyFill="1" applyBorder="1" applyAlignment="1">
      <alignment horizontal="center" vertical="center" textRotation="90" wrapText="1"/>
    </xf>
    <xf numFmtId="0" fontId="4" fillId="9" borderId="61" xfId="0" applyFont="1" applyFill="1" applyBorder="1" applyAlignment="1">
      <alignment horizontal="center" vertical="center" textRotation="90" wrapText="1"/>
    </xf>
    <xf numFmtId="0" fontId="4" fillId="9" borderId="64" xfId="0" applyFont="1" applyFill="1" applyBorder="1" applyAlignment="1">
      <alignment horizontal="center" vertical="center" textRotation="90" wrapText="1"/>
    </xf>
    <xf numFmtId="0" fontId="0" fillId="0" borderId="62" xfId="0" applyBorder="1" applyAlignment="1">
      <alignment horizontal="center" vertical="center"/>
    </xf>
    <xf numFmtId="0" fontId="13" fillId="14" borderId="70" xfId="0" applyFont="1" applyFill="1" applyBorder="1" applyAlignment="1">
      <alignment horizontal="center"/>
    </xf>
    <xf numFmtId="0" fontId="13" fillId="14" borderId="71" xfId="0" applyFont="1" applyFill="1" applyBorder="1" applyAlignment="1">
      <alignment horizontal="center"/>
    </xf>
    <xf numFmtId="0" fontId="4" fillId="9" borderId="72" xfId="0" applyFont="1" applyFill="1" applyBorder="1" applyAlignment="1">
      <alignment horizontal="center" vertical="center" textRotation="90" wrapText="1"/>
    </xf>
    <xf numFmtId="0" fontId="4" fillId="9" borderId="73" xfId="0" applyFont="1" applyFill="1" applyBorder="1" applyAlignment="1">
      <alignment horizontal="center" vertical="center" textRotation="90" wrapText="1"/>
    </xf>
    <xf numFmtId="0" fontId="4" fillId="9" borderId="76" xfId="0" applyFont="1" applyFill="1" applyBorder="1" applyAlignment="1">
      <alignment horizontal="center" vertical="center" textRotation="90" wrapText="1"/>
    </xf>
    <xf numFmtId="0" fontId="0" fillId="0" borderId="0" xfId="0" applyAlignment="1">
      <alignment horizontal="center" vertical="center"/>
    </xf>
    <xf numFmtId="0" fontId="0" fillId="0" borderId="74" xfId="0" applyBorder="1" applyAlignment="1">
      <alignment horizontal="center" vertical="center"/>
    </xf>
    <xf numFmtId="0" fontId="4" fillId="15" borderId="60" xfId="0" applyFont="1" applyFill="1" applyBorder="1" applyAlignment="1" applyProtection="1">
      <alignment horizontal="center" vertical="center" textRotation="90" wrapText="1"/>
    </xf>
    <xf numFmtId="0" fontId="4" fillId="15" borderId="61" xfId="0" applyFont="1" applyFill="1" applyBorder="1" applyAlignment="1" applyProtection="1">
      <alignment horizontal="center" vertical="center" textRotation="90" wrapText="1"/>
    </xf>
    <xf numFmtId="0" fontId="4" fillId="15" borderId="64" xfId="0" applyFont="1" applyFill="1" applyBorder="1" applyAlignment="1" applyProtection="1">
      <alignment horizontal="center" vertical="center" textRotation="90" wrapText="1"/>
    </xf>
    <xf numFmtId="0" fontId="0" fillId="0" borderId="3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62" xfId="0" applyBorder="1" applyAlignment="1" applyProtection="1">
      <alignment horizontal="center" vertical="center" wrapText="1"/>
    </xf>
    <xf numFmtId="0" fontId="4" fillId="17" borderId="49" xfId="0" applyFont="1" applyFill="1" applyBorder="1" applyAlignment="1" applyProtection="1">
      <alignment horizontal="center" vertical="center" textRotation="90" wrapText="1"/>
    </xf>
    <xf numFmtId="0" fontId="4" fillId="17" borderId="50" xfId="0" applyFont="1" applyFill="1" applyBorder="1" applyAlignment="1" applyProtection="1">
      <alignment horizontal="center" vertical="center" textRotation="90" wrapText="1"/>
    </xf>
    <xf numFmtId="0" fontId="4" fillId="17" borderId="53" xfId="0" applyFont="1" applyFill="1" applyBorder="1" applyAlignment="1" applyProtection="1">
      <alignment horizontal="center" vertical="center" textRotation="90" wrapText="1"/>
    </xf>
    <xf numFmtId="0" fontId="0" fillId="0" borderId="33" xfId="0" applyBorder="1" applyAlignment="1" applyProtection="1">
      <alignment horizontal="center" vertical="center"/>
    </xf>
    <xf numFmtId="0" fontId="0" fillId="0" borderId="51" xfId="0" applyBorder="1" applyAlignment="1" applyProtection="1">
      <alignment horizontal="center" vertical="center"/>
    </xf>
    <xf numFmtId="0" fontId="12" fillId="0" borderId="102" xfId="0" applyFont="1" applyBorder="1" applyAlignment="1" applyProtection="1">
      <alignment horizontal="center" vertical="center"/>
    </xf>
    <xf numFmtId="0" fontId="13" fillId="13" borderId="47" xfId="0" applyFont="1" applyFill="1" applyBorder="1" applyAlignment="1" applyProtection="1">
      <alignment horizontal="center"/>
    </xf>
    <xf numFmtId="0" fontId="13" fillId="13" borderId="0" xfId="0" applyFont="1" applyFill="1" applyBorder="1" applyAlignment="1" applyProtection="1">
      <alignment horizontal="center"/>
    </xf>
    <xf numFmtId="0" fontId="13" fillId="13" borderId="48" xfId="0" applyFont="1" applyFill="1" applyBorder="1" applyAlignment="1" applyProtection="1">
      <alignment horizontal="center"/>
    </xf>
    <xf numFmtId="0" fontId="13" fillId="14" borderId="58" xfId="0" applyFont="1" applyFill="1" applyBorder="1" applyAlignment="1" applyProtection="1">
      <alignment horizontal="center"/>
    </xf>
    <xf numFmtId="0" fontId="13" fillId="14" borderId="0" xfId="0" applyFont="1" applyFill="1" applyBorder="1" applyAlignment="1" applyProtection="1">
      <alignment horizontal="center"/>
    </xf>
    <xf numFmtId="0" fontId="13" fillId="14" borderId="59" xfId="0" applyFont="1" applyFill="1" applyBorder="1" applyAlignment="1" applyProtection="1">
      <alignment horizontal="center"/>
    </xf>
    <xf numFmtId="0" fontId="29" fillId="0" borderId="0" xfId="0" applyFont="1" applyAlignment="1">
      <alignment horizontal="center" vertical="center"/>
    </xf>
    <xf numFmtId="0" fontId="4" fillId="20" borderId="32" xfId="0" applyFont="1" applyFill="1" applyBorder="1" applyAlignment="1">
      <alignment horizontal="center" vertical="center" textRotation="90" wrapText="1"/>
    </xf>
    <xf numFmtId="0" fontId="1" fillId="20" borderId="32" xfId="0" applyFont="1" applyFill="1" applyBorder="1" applyAlignment="1">
      <alignment horizontal="center" vertical="center"/>
    </xf>
    <xf numFmtId="0" fontId="0" fillId="0" borderId="32" xfId="0" applyBorder="1" applyAlignment="1">
      <alignment horizontal="right" vertical="center"/>
    </xf>
    <xf numFmtId="0" fontId="0" fillId="0" borderId="32" xfId="0" applyBorder="1" applyAlignment="1">
      <alignment horizontal="right" vertical="center" wrapText="1" indent="1"/>
    </xf>
    <xf numFmtId="0" fontId="0" fillId="0" borderId="32" xfId="0" applyBorder="1" applyAlignment="1">
      <alignment horizontal="center" vertical="center" textRotation="90" wrapText="1"/>
    </xf>
    <xf numFmtId="0" fontId="0" fillId="0" borderId="32" xfId="0" applyBorder="1" applyAlignment="1">
      <alignment horizontal="center" vertical="center" textRotation="90"/>
    </xf>
    <xf numFmtId="0" fontId="1" fillId="0" borderId="0" xfId="0" applyFont="1" applyAlignment="1">
      <alignment horizontal="right" vertical="center"/>
    </xf>
    <xf numFmtId="0" fontId="4" fillId="13" borderId="92" xfId="0" applyFont="1" applyFill="1" applyBorder="1" applyAlignment="1">
      <alignment horizontal="center" vertical="center" textRotation="90" wrapText="1"/>
    </xf>
    <xf numFmtId="0" fontId="4" fillId="13" borderId="95" xfId="0" applyFont="1" applyFill="1" applyBorder="1" applyAlignment="1">
      <alignment horizontal="center" vertical="center" textRotation="90" wrapText="1"/>
    </xf>
    <xf numFmtId="0" fontId="1" fillId="13" borderId="91" xfId="0" applyFont="1" applyFill="1" applyBorder="1" applyAlignment="1">
      <alignment horizontal="center"/>
    </xf>
    <xf numFmtId="0" fontId="1" fillId="0" borderId="13"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8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41"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32"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16" borderId="35" xfId="0" applyFont="1" applyFill="1" applyBorder="1" applyAlignment="1" applyProtection="1">
      <alignment horizontal="center" vertical="center"/>
    </xf>
    <xf numFmtId="0" fontId="1" fillId="16" borderId="32" xfId="0" applyFont="1" applyFill="1" applyBorder="1" applyAlignment="1" applyProtection="1">
      <alignment horizontal="center" vertical="center"/>
    </xf>
    <xf numFmtId="0" fontId="1" fillId="0" borderId="93" xfId="0" applyFont="1" applyBorder="1" applyAlignment="1" applyProtection="1">
      <alignment horizont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93" xfId="0" applyFont="1" applyBorder="1" applyAlignment="1" applyProtection="1">
      <alignment horizontal="center" vertical="center"/>
    </xf>
    <xf numFmtId="0" fontId="12" fillId="0" borderId="24" xfId="0" applyFont="1" applyBorder="1" applyAlignment="1" applyProtection="1">
      <alignment horizontal="center" vertical="center"/>
    </xf>
    <xf numFmtId="0" fontId="1" fillId="16" borderId="41" xfId="0" applyFont="1" applyFill="1" applyBorder="1" applyAlignment="1" applyProtection="1">
      <alignment horizontal="center" vertical="center"/>
    </xf>
    <xf numFmtId="0" fontId="1" fillId="16" borderId="42" xfId="0" applyFont="1" applyFill="1" applyBorder="1" applyAlignment="1" applyProtection="1">
      <alignment horizontal="center" vertical="center"/>
    </xf>
    <xf numFmtId="0" fontId="1" fillId="16" borderId="43" xfId="0" applyFont="1" applyFill="1" applyBorder="1" applyAlignment="1" applyProtection="1">
      <alignment horizontal="center" vertical="center"/>
    </xf>
    <xf numFmtId="3" fontId="1" fillId="16" borderId="35" xfId="0" applyNumberFormat="1" applyFont="1" applyFill="1" applyBorder="1" applyAlignment="1" applyProtection="1">
      <alignment horizontal="center" vertical="center"/>
    </xf>
    <xf numFmtId="3" fontId="1" fillId="16" borderId="32" xfId="0" applyNumberFormat="1" applyFont="1" applyFill="1" applyBorder="1" applyAlignment="1" applyProtection="1">
      <alignment horizontal="center" vertical="center"/>
    </xf>
    <xf numFmtId="0" fontId="0" fillId="0" borderId="16" xfId="0" applyBorder="1" applyAlignment="1" applyProtection="1">
      <alignment horizontal="left" vertical="center" wrapText="1"/>
    </xf>
    <xf numFmtId="0" fontId="0" fillId="0" borderId="20" xfId="0" applyBorder="1" applyAlignment="1" applyProtection="1">
      <alignment horizontal="left" vertical="center" wrapText="1"/>
    </xf>
    <xf numFmtId="0" fontId="0" fillId="5" borderId="2" xfId="0"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164" fontId="1" fillId="7" borderId="2" xfId="0" applyNumberFormat="1" applyFont="1" applyFill="1" applyBorder="1" applyAlignment="1" applyProtection="1">
      <alignment horizontal="right" vertical="center" wrapText="1" indent="1"/>
    </xf>
    <xf numFmtId="164" fontId="1" fillId="7" borderId="5" xfId="0" applyNumberFormat="1" applyFont="1" applyFill="1" applyBorder="1" applyAlignment="1" applyProtection="1">
      <alignment horizontal="right" vertical="center" wrapText="1" indent="1"/>
    </xf>
    <xf numFmtId="164" fontId="1" fillId="7" borderId="3" xfId="0" applyNumberFormat="1" applyFont="1" applyFill="1" applyBorder="1" applyAlignment="1" applyProtection="1">
      <alignment horizontal="right" vertical="center" wrapText="1" indent="1"/>
    </xf>
    <xf numFmtId="164" fontId="1" fillId="7" borderId="6" xfId="0" applyNumberFormat="1" applyFont="1" applyFill="1" applyBorder="1" applyAlignment="1" applyProtection="1">
      <alignment horizontal="right" vertical="center" wrapText="1" indent="1"/>
    </xf>
    <xf numFmtId="0" fontId="0" fillId="6" borderId="1"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6" xfId="0" applyBorder="1" applyAlignment="1" applyProtection="1">
      <alignment horizontal="center" vertical="center"/>
    </xf>
    <xf numFmtId="165" fontId="0" fillId="0" borderId="27" xfId="0" applyNumberFormat="1" applyFill="1" applyBorder="1" applyAlignment="1" applyProtection="1">
      <alignment horizontal="center" vertical="center"/>
      <protection locked="0"/>
    </xf>
    <xf numFmtId="165" fontId="0" fillId="0" borderId="28" xfId="0" applyNumberFormat="1" applyFill="1" applyBorder="1" applyAlignment="1" applyProtection="1">
      <alignment horizontal="center" vertical="center"/>
      <protection locked="0"/>
    </xf>
    <xf numFmtId="165" fontId="0" fillId="2" borderId="29" xfId="0" applyNumberFormat="1" applyFill="1" applyBorder="1" applyAlignment="1" applyProtection="1">
      <alignment horizontal="right" vertical="center" indent="1"/>
    </xf>
    <xf numFmtId="165" fontId="0" fillId="2" borderId="30" xfId="0" applyNumberFormat="1" applyFill="1" applyBorder="1" applyAlignment="1" applyProtection="1">
      <alignment horizontal="right" vertical="center" indent="1"/>
    </xf>
    <xf numFmtId="0" fontId="0" fillId="0" borderId="11" xfId="0" applyBorder="1" applyAlignment="1" applyProtection="1">
      <alignment horizontal="center" vertical="center"/>
    </xf>
    <xf numFmtId="0" fontId="1" fillId="0" borderId="0" xfId="0" applyFont="1" applyAlignment="1" applyProtection="1">
      <alignment horizontal="left" vertical="center" wrapText="1"/>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1" fillId="0" borderId="0" xfId="0" applyFont="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10" fontId="0" fillId="0" borderId="22" xfId="0" applyNumberFormat="1" applyBorder="1" applyAlignment="1" applyProtection="1">
      <alignment horizontal="center" vertical="center"/>
    </xf>
    <xf numFmtId="10" fontId="0" fillId="0" borderId="23" xfId="0" applyNumberFormat="1" applyBorder="1" applyAlignment="1" applyProtection="1">
      <alignment horizontal="center" vertical="center"/>
    </xf>
    <xf numFmtId="10" fontId="0" fillId="0" borderId="21" xfId="0" applyNumberFormat="1" applyBorder="1" applyAlignment="1" applyProtection="1">
      <alignment horizontal="center" vertical="center"/>
    </xf>
    <xf numFmtId="10" fontId="0" fillId="0" borderId="24" xfId="0" applyNumberFormat="1" applyBorder="1" applyAlignment="1" applyProtection="1">
      <alignment horizontal="center" vertical="center"/>
    </xf>
  </cellXfs>
  <cellStyles count="7">
    <cellStyle name="Lien hypertexte" xfId="6" builtinId="8"/>
    <cellStyle name="Milliers 2" xfId="2" xr:uid="{9D98D952-812F-4BFB-B281-AAD667A84D83}"/>
    <cellStyle name="Normal" xfId="0" builtinId="0"/>
    <cellStyle name="Normal 2" xfId="5" xr:uid="{4CA8957F-60F2-471F-A38E-3B2DF35024C9}"/>
    <cellStyle name="Normal 3" xfId="1" xr:uid="{67EB2E5D-0A05-437B-AAEC-81EC5076ADEA}"/>
    <cellStyle name="Titre 1 2" xfId="3" xr:uid="{A6EC8E45-F66B-4CA4-99E6-09B48A686B5A}"/>
    <cellStyle name="Titre 2 2" xfId="4" xr:uid="{3FCE46E9-36EA-44B7-AA57-0B0686C6C25F}"/>
  </cellStyles>
  <dxfs count="0"/>
  <tableStyles count="0" defaultTableStyle="TableStyleMedium2" defaultPivotStyle="PivotStyleLight16"/>
  <colors>
    <mruColors>
      <color rgb="FF3366FF"/>
      <color rgb="FFFF33CC"/>
      <color rgb="FFFF66FF"/>
      <color rgb="FF0066FF"/>
      <color rgb="FFFF99FF"/>
      <color rgb="FF0099FF"/>
      <color rgb="FF00FF99"/>
      <color rgb="FFCCFFCC"/>
      <color rgb="FF99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9.jpg"/></Relationships>
</file>

<file path=xl/drawings/_rels/drawing3.xml.rels><?xml version="1.0" encoding="UTF-8" standalone="yes"?>
<Relationships xmlns="http://schemas.openxmlformats.org/package/2006/relationships"><Relationship Id="rId1" Type="http://schemas.openxmlformats.org/officeDocument/2006/relationships/image" Target="../media/image19.jpg"/></Relationships>
</file>

<file path=xl/drawings/_rels/drawing4.xml.rels><?xml version="1.0" encoding="UTF-8" standalone="yes"?>
<Relationships xmlns="http://schemas.openxmlformats.org/package/2006/relationships"><Relationship Id="rId1" Type="http://schemas.openxmlformats.org/officeDocument/2006/relationships/image" Target="../media/image19.jpg"/></Relationships>
</file>

<file path=xl/drawings/_rels/drawing5.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53</xdr:row>
      <xdr:rowOff>104775</xdr:rowOff>
    </xdr:from>
    <xdr:to>
      <xdr:col>3</xdr:col>
      <xdr:colOff>952286</xdr:colOff>
      <xdr:row>53</xdr:row>
      <xdr:rowOff>1542870</xdr:rowOff>
    </xdr:to>
    <xdr:pic>
      <xdr:nvPicPr>
        <xdr:cNvPr id="3" name="Image 2">
          <a:extLst>
            <a:ext uri="{FF2B5EF4-FFF2-40B4-BE49-F238E27FC236}">
              <a16:creationId xmlns:a16="http://schemas.microsoft.com/office/drawing/2014/main" id="{C236F762-A74C-4617-8606-4943AEDF4770}"/>
            </a:ext>
          </a:extLst>
        </xdr:cNvPr>
        <xdr:cNvPicPr>
          <a:picLocks noChangeAspect="1"/>
        </xdr:cNvPicPr>
      </xdr:nvPicPr>
      <xdr:blipFill>
        <a:blip xmlns:r="http://schemas.openxmlformats.org/officeDocument/2006/relationships" r:embed="rId1"/>
        <a:stretch>
          <a:fillRect/>
        </a:stretch>
      </xdr:blipFill>
      <xdr:spPr>
        <a:xfrm>
          <a:off x="285750" y="20974050"/>
          <a:ext cx="1714286" cy="1438095"/>
        </a:xfrm>
        <a:prstGeom prst="rect">
          <a:avLst/>
        </a:prstGeom>
      </xdr:spPr>
    </xdr:pic>
    <xdr:clientData/>
  </xdr:twoCellAnchor>
  <xdr:twoCellAnchor editAs="oneCell">
    <xdr:from>
      <xdr:col>2</xdr:col>
      <xdr:colOff>0</xdr:colOff>
      <xdr:row>18</xdr:row>
      <xdr:rowOff>57150</xdr:rowOff>
    </xdr:from>
    <xdr:to>
      <xdr:col>4</xdr:col>
      <xdr:colOff>104538</xdr:colOff>
      <xdr:row>18</xdr:row>
      <xdr:rowOff>1285721</xdr:rowOff>
    </xdr:to>
    <xdr:pic>
      <xdr:nvPicPr>
        <xdr:cNvPr id="5" name="Image 4">
          <a:extLst>
            <a:ext uri="{FF2B5EF4-FFF2-40B4-BE49-F238E27FC236}">
              <a16:creationId xmlns:a16="http://schemas.microsoft.com/office/drawing/2014/main" id="{28AC1FF6-9BAE-4981-8EB0-DA7F045DC90F}"/>
            </a:ext>
          </a:extLst>
        </xdr:cNvPr>
        <xdr:cNvPicPr>
          <a:picLocks noChangeAspect="1"/>
        </xdr:cNvPicPr>
      </xdr:nvPicPr>
      <xdr:blipFill>
        <a:blip xmlns:r="http://schemas.openxmlformats.org/officeDocument/2006/relationships" r:embed="rId2"/>
        <a:stretch>
          <a:fillRect/>
        </a:stretch>
      </xdr:blipFill>
      <xdr:spPr>
        <a:xfrm>
          <a:off x="285750" y="6972300"/>
          <a:ext cx="1895238" cy="1228571"/>
        </a:xfrm>
        <a:prstGeom prst="rect">
          <a:avLst/>
        </a:prstGeom>
      </xdr:spPr>
    </xdr:pic>
    <xdr:clientData/>
  </xdr:twoCellAnchor>
  <xdr:twoCellAnchor editAs="oneCell">
    <xdr:from>
      <xdr:col>0</xdr:col>
      <xdr:colOff>276225</xdr:colOff>
      <xdr:row>20</xdr:row>
      <xdr:rowOff>161925</xdr:rowOff>
    </xdr:from>
    <xdr:to>
      <xdr:col>4</xdr:col>
      <xdr:colOff>514012</xdr:colOff>
      <xdr:row>21</xdr:row>
      <xdr:rowOff>971396</xdr:rowOff>
    </xdr:to>
    <xdr:pic>
      <xdr:nvPicPr>
        <xdr:cNvPr id="6" name="Image 5">
          <a:extLst>
            <a:ext uri="{FF2B5EF4-FFF2-40B4-BE49-F238E27FC236}">
              <a16:creationId xmlns:a16="http://schemas.microsoft.com/office/drawing/2014/main" id="{67F9ABA8-E1AC-43A2-9A92-48780AFFA0DB}"/>
            </a:ext>
          </a:extLst>
        </xdr:cNvPr>
        <xdr:cNvPicPr>
          <a:picLocks noChangeAspect="1"/>
        </xdr:cNvPicPr>
      </xdr:nvPicPr>
      <xdr:blipFill>
        <a:blip xmlns:r="http://schemas.openxmlformats.org/officeDocument/2006/relationships" r:embed="rId3"/>
        <a:stretch>
          <a:fillRect/>
        </a:stretch>
      </xdr:blipFill>
      <xdr:spPr>
        <a:xfrm>
          <a:off x="276225" y="8620125"/>
          <a:ext cx="2704762" cy="1228571"/>
        </a:xfrm>
        <a:prstGeom prst="rect">
          <a:avLst/>
        </a:prstGeom>
      </xdr:spPr>
    </xdr:pic>
    <xdr:clientData/>
  </xdr:twoCellAnchor>
  <xdr:twoCellAnchor editAs="oneCell">
    <xdr:from>
      <xdr:col>2</xdr:col>
      <xdr:colOff>0</xdr:colOff>
      <xdr:row>24</xdr:row>
      <xdr:rowOff>0</xdr:rowOff>
    </xdr:from>
    <xdr:to>
      <xdr:col>3</xdr:col>
      <xdr:colOff>1018952</xdr:colOff>
      <xdr:row>24</xdr:row>
      <xdr:rowOff>1438095</xdr:rowOff>
    </xdr:to>
    <xdr:pic>
      <xdr:nvPicPr>
        <xdr:cNvPr id="7" name="Image 6">
          <a:extLst>
            <a:ext uri="{FF2B5EF4-FFF2-40B4-BE49-F238E27FC236}">
              <a16:creationId xmlns:a16="http://schemas.microsoft.com/office/drawing/2014/main" id="{09BE9762-152E-4685-9435-20E465AF8111}"/>
            </a:ext>
          </a:extLst>
        </xdr:cNvPr>
        <xdr:cNvPicPr>
          <a:picLocks noChangeAspect="1"/>
        </xdr:cNvPicPr>
      </xdr:nvPicPr>
      <xdr:blipFill>
        <a:blip xmlns:r="http://schemas.openxmlformats.org/officeDocument/2006/relationships" r:embed="rId4"/>
        <a:stretch>
          <a:fillRect/>
        </a:stretch>
      </xdr:blipFill>
      <xdr:spPr>
        <a:xfrm>
          <a:off x="285750" y="10372725"/>
          <a:ext cx="1780952" cy="1438095"/>
        </a:xfrm>
        <a:prstGeom prst="rect">
          <a:avLst/>
        </a:prstGeom>
      </xdr:spPr>
    </xdr:pic>
    <xdr:clientData/>
  </xdr:twoCellAnchor>
  <xdr:twoCellAnchor editAs="oneCell">
    <xdr:from>
      <xdr:col>2</xdr:col>
      <xdr:colOff>0</xdr:colOff>
      <xdr:row>15</xdr:row>
      <xdr:rowOff>47625</xdr:rowOff>
    </xdr:from>
    <xdr:to>
      <xdr:col>3</xdr:col>
      <xdr:colOff>247524</xdr:colOff>
      <xdr:row>15</xdr:row>
      <xdr:rowOff>1276196</xdr:rowOff>
    </xdr:to>
    <xdr:pic>
      <xdr:nvPicPr>
        <xdr:cNvPr id="8" name="Image 7">
          <a:extLst>
            <a:ext uri="{FF2B5EF4-FFF2-40B4-BE49-F238E27FC236}">
              <a16:creationId xmlns:a16="http://schemas.microsoft.com/office/drawing/2014/main" id="{6921067A-FAC0-4886-B0ED-9338246CCF7F}"/>
            </a:ext>
          </a:extLst>
        </xdr:cNvPr>
        <xdr:cNvPicPr>
          <a:picLocks noChangeAspect="1"/>
        </xdr:cNvPicPr>
      </xdr:nvPicPr>
      <xdr:blipFill>
        <a:blip xmlns:r="http://schemas.openxmlformats.org/officeDocument/2006/relationships" r:embed="rId5"/>
        <a:stretch>
          <a:fillRect/>
        </a:stretch>
      </xdr:blipFill>
      <xdr:spPr>
        <a:xfrm>
          <a:off x="285750" y="4105275"/>
          <a:ext cx="1009524" cy="1228571"/>
        </a:xfrm>
        <a:prstGeom prst="rect">
          <a:avLst/>
        </a:prstGeom>
      </xdr:spPr>
    </xdr:pic>
    <xdr:clientData/>
  </xdr:twoCellAnchor>
  <xdr:twoCellAnchor editAs="oneCell">
    <xdr:from>
      <xdr:col>2</xdr:col>
      <xdr:colOff>0</xdr:colOff>
      <xdr:row>13</xdr:row>
      <xdr:rowOff>57150</xdr:rowOff>
    </xdr:from>
    <xdr:to>
      <xdr:col>3</xdr:col>
      <xdr:colOff>266571</xdr:colOff>
      <xdr:row>13</xdr:row>
      <xdr:rowOff>1285721</xdr:rowOff>
    </xdr:to>
    <xdr:pic>
      <xdr:nvPicPr>
        <xdr:cNvPr id="9" name="Image 8">
          <a:extLst>
            <a:ext uri="{FF2B5EF4-FFF2-40B4-BE49-F238E27FC236}">
              <a16:creationId xmlns:a16="http://schemas.microsoft.com/office/drawing/2014/main" id="{BFB96DB1-FC1C-451F-B126-3C4AF3B8ED3C}"/>
            </a:ext>
          </a:extLst>
        </xdr:cNvPr>
        <xdr:cNvPicPr>
          <a:picLocks noChangeAspect="1"/>
        </xdr:cNvPicPr>
      </xdr:nvPicPr>
      <xdr:blipFill>
        <a:blip xmlns:r="http://schemas.openxmlformats.org/officeDocument/2006/relationships" r:embed="rId6"/>
        <a:stretch>
          <a:fillRect/>
        </a:stretch>
      </xdr:blipFill>
      <xdr:spPr>
        <a:xfrm>
          <a:off x="285750" y="2581275"/>
          <a:ext cx="1028571" cy="1228571"/>
        </a:xfrm>
        <a:prstGeom prst="rect">
          <a:avLst/>
        </a:prstGeom>
      </xdr:spPr>
    </xdr:pic>
    <xdr:clientData/>
  </xdr:twoCellAnchor>
  <xdr:twoCellAnchor editAs="oneCell">
    <xdr:from>
      <xdr:col>2</xdr:col>
      <xdr:colOff>0</xdr:colOff>
      <xdr:row>26</xdr:row>
      <xdr:rowOff>66675</xdr:rowOff>
    </xdr:from>
    <xdr:to>
      <xdr:col>3</xdr:col>
      <xdr:colOff>418952</xdr:colOff>
      <xdr:row>26</xdr:row>
      <xdr:rowOff>1514294</xdr:rowOff>
    </xdr:to>
    <xdr:pic>
      <xdr:nvPicPr>
        <xdr:cNvPr id="10" name="Image 9">
          <a:extLst>
            <a:ext uri="{FF2B5EF4-FFF2-40B4-BE49-F238E27FC236}">
              <a16:creationId xmlns:a16="http://schemas.microsoft.com/office/drawing/2014/main" id="{F89F9ADA-46E7-45D0-9D34-60BD8CF42C12}"/>
            </a:ext>
          </a:extLst>
        </xdr:cNvPr>
        <xdr:cNvPicPr>
          <a:picLocks noChangeAspect="1"/>
        </xdr:cNvPicPr>
      </xdr:nvPicPr>
      <xdr:blipFill>
        <a:blip xmlns:r="http://schemas.openxmlformats.org/officeDocument/2006/relationships" r:embed="rId7"/>
        <a:stretch>
          <a:fillRect/>
        </a:stretch>
      </xdr:blipFill>
      <xdr:spPr>
        <a:xfrm>
          <a:off x="285750" y="12192000"/>
          <a:ext cx="1180952" cy="1447619"/>
        </a:xfrm>
        <a:prstGeom prst="rect">
          <a:avLst/>
        </a:prstGeom>
      </xdr:spPr>
    </xdr:pic>
    <xdr:clientData/>
  </xdr:twoCellAnchor>
  <xdr:twoCellAnchor editAs="oneCell">
    <xdr:from>
      <xdr:col>2</xdr:col>
      <xdr:colOff>0</xdr:colOff>
      <xdr:row>30</xdr:row>
      <xdr:rowOff>57150</xdr:rowOff>
    </xdr:from>
    <xdr:to>
      <xdr:col>5</xdr:col>
      <xdr:colOff>342538</xdr:colOff>
      <xdr:row>37</xdr:row>
      <xdr:rowOff>161745</xdr:rowOff>
    </xdr:to>
    <xdr:pic>
      <xdr:nvPicPr>
        <xdr:cNvPr id="11" name="Image 10">
          <a:extLst>
            <a:ext uri="{FF2B5EF4-FFF2-40B4-BE49-F238E27FC236}">
              <a16:creationId xmlns:a16="http://schemas.microsoft.com/office/drawing/2014/main" id="{C9A5B19B-DB7F-4A6F-A1ED-F1A1EE26F00B}"/>
            </a:ext>
          </a:extLst>
        </xdr:cNvPr>
        <xdr:cNvPicPr>
          <a:picLocks noChangeAspect="1"/>
        </xdr:cNvPicPr>
      </xdr:nvPicPr>
      <xdr:blipFill>
        <a:blip xmlns:r="http://schemas.openxmlformats.org/officeDocument/2006/relationships" r:embed="rId8"/>
        <a:stretch>
          <a:fillRect/>
        </a:stretch>
      </xdr:blipFill>
      <xdr:spPr>
        <a:xfrm>
          <a:off x="285750" y="14258925"/>
          <a:ext cx="2895238" cy="1438095"/>
        </a:xfrm>
        <a:prstGeom prst="rect">
          <a:avLst/>
        </a:prstGeom>
      </xdr:spPr>
    </xdr:pic>
    <xdr:clientData/>
  </xdr:twoCellAnchor>
  <xdr:twoCellAnchor editAs="oneCell">
    <xdr:from>
      <xdr:col>7</xdr:col>
      <xdr:colOff>0</xdr:colOff>
      <xdr:row>30</xdr:row>
      <xdr:rowOff>57150</xdr:rowOff>
    </xdr:from>
    <xdr:to>
      <xdr:col>9</xdr:col>
      <xdr:colOff>628381</xdr:colOff>
      <xdr:row>37</xdr:row>
      <xdr:rowOff>161745</xdr:rowOff>
    </xdr:to>
    <xdr:pic>
      <xdr:nvPicPr>
        <xdr:cNvPr id="12" name="Image 11">
          <a:extLst>
            <a:ext uri="{FF2B5EF4-FFF2-40B4-BE49-F238E27FC236}">
              <a16:creationId xmlns:a16="http://schemas.microsoft.com/office/drawing/2014/main" id="{16FF5F7B-FD11-4742-97F9-D9E015ED4CCC}"/>
            </a:ext>
          </a:extLst>
        </xdr:cNvPr>
        <xdr:cNvPicPr>
          <a:picLocks noChangeAspect="1"/>
        </xdr:cNvPicPr>
      </xdr:nvPicPr>
      <xdr:blipFill>
        <a:blip xmlns:r="http://schemas.openxmlformats.org/officeDocument/2006/relationships" r:embed="rId9"/>
        <a:stretch>
          <a:fillRect/>
        </a:stretch>
      </xdr:blipFill>
      <xdr:spPr>
        <a:xfrm>
          <a:off x="4362450" y="14258925"/>
          <a:ext cx="2152381" cy="1438095"/>
        </a:xfrm>
        <a:prstGeom prst="rect">
          <a:avLst/>
        </a:prstGeom>
      </xdr:spPr>
    </xdr:pic>
    <xdr:clientData/>
  </xdr:twoCellAnchor>
  <xdr:twoCellAnchor editAs="oneCell">
    <xdr:from>
      <xdr:col>2</xdr:col>
      <xdr:colOff>0</xdr:colOff>
      <xdr:row>48</xdr:row>
      <xdr:rowOff>0</xdr:rowOff>
    </xdr:from>
    <xdr:to>
      <xdr:col>3</xdr:col>
      <xdr:colOff>104667</xdr:colOff>
      <xdr:row>51</xdr:row>
      <xdr:rowOff>876119</xdr:rowOff>
    </xdr:to>
    <xdr:pic>
      <xdr:nvPicPr>
        <xdr:cNvPr id="13" name="Image 12">
          <a:extLst>
            <a:ext uri="{FF2B5EF4-FFF2-40B4-BE49-F238E27FC236}">
              <a16:creationId xmlns:a16="http://schemas.microsoft.com/office/drawing/2014/main" id="{1FDE0F06-92C3-442E-AA58-7C7DB6333DEC}"/>
            </a:ext>
          </a:extLst>
        </xdr:cNvPr>
        <xdr:cNvPicPr>
          <a:picLocks noChangeAspect="1"/>
        </xdr:cNvPicPr>
      </xdr:nvPicPr>
      <xdr:blipFill>
        <a:blip xmlns:r="http://schemas.openxmlformats.org/officeDocument/2006/relationships" r:embed="rId10"/>
        <a:stretch>
          <a:fillRect/>
        </a:stretch>
      </xdr:blipFill>
      <xdr:spPr>
        <a:xfrm>
          <a:off x="285750" y="19173825"/>
          <a:ext cx="866667" cy="1447619"/>
        </a:xfrm>
        <a:prstGeom prst="rect">
          <a:avLst/>
        </a:prstGeom>
      </xdr:spPr>
    </xdr:pic>
    <xdr:clientData/>
  </xdr:twoCellAnchor>
  <xdr:twoCellAnchor editAs="oneCell">
    <xdr:from>
      <xdr:col>2</xdr:col>
      <xdr:colOff>0</xdr:colOff>
      <xdr:row>55</xdr:row>
      <xdr:rowOff>85725</xdr:rowOff>
    </xdr:from>
    <xdr:to>
      <xdr:col>4</xdr:col>
      <xdr:colOff>18824</xdr:colOff>
      <xdr:row>55</xdr:row>
      <xdr:rowOff>1523820</xdr:rowOff>
    </xdr:to>
    <xdr:pic>
      <xdr:nvPicPr>
        <xdr:cNvPr id="14" name="Image 13">
          <a:extLst>
            <a:ext uri="{FF2B5EF4-FFF2-40B4-BE49-F238E27FC236}">
              <a16:creationId xmlns:a16="http://schemas.microsoft.com/office/drawing/2014/main" id="{B8882B19-D2B5-4CD9-8D68-54EEDF2F1665}"/>
            </a:ext>
          </a:extLst>
        </xdr:cNvPr>
        <xdr:cNvPicPr>
          <a:picLocks noChangeAspect="1"/>
        </xdr:cNvPicPr>
      </xdr:nvPicPr>
      <xdr:blipFill>
        <a:blip xmlns:r="http://schemas.openxmlformats.org/officeDocument/2006/relationships" r:embed="rId11"/>
        <a:stretch>
          <a:fillRect/>
        </a:stretch>
      </xdr:blipFill>
      <xdr:spPr>
        <a:xfrm>
          <a:off x="285750" y="22774275"/>
          <a:ext cx="1809524" cy="1438095"/>
        </a:xfrm>
        <a:prstGeom prst="rect">
          <a:avLst/>
        </a:prstGeom>
      </xdr:spPr>
    </xdr:pic>
    <xdr:clientData/>
  </xdr:twoCellAnchor>
  <xdr:twoCellAnchor editAs="oneCell">
    <xdr:from>
      <xdr:col>2</xdr:col>
      <xdr:colOff>0</xdr:colOff>
      <xdr:row>41</xdr:row>
      <xdr:rowOff>0</xdr:rowOff>
    </xdr:from>
    <xdr:to>
      <xdr:col>3</xdr:col>
      <xdr:colOff>47524</xdr:colOff>
      <xdr:row>45</xdr:row>
      <xdr:rowOff>114120</xdr:rowOff>
    </xdr:to>
    <xdr:pic>
      <xdr:nvPicPr>
        <xdr:cNvPr id="15" name="Image 14">
          <a:extLst>
            <a:ext uri="{FF2B5EF4-FFF2-40B4-BE49-F238E27FC236}">
              <a16:creationId xmlns:a16="http://schemas.microsoft.com/office/drawing/2014/main" id="{55FA17FA-3BE0-4C1F-A800-98735CE6B638}"/>
            </a:ext>
          </a:extLst>
        </xdr:cNvPr>
        <xdr:cNvPicPr>
          <a:picLocks noChangeAspect="1"/>
        </xdr:cNvPicPr>
      </xdr:nvPicPr>
      <xdr:blipFill>
        <a:blip xmlns:r="http://schemas.openxmlformats.org/officeDocument/2006/relationships" r:embed="rId12"/>
        <a:stretch>
          <a:fillRect/>
        </a:stretch>
      </xdr:blipFill>
      <xdr:spPr>
        <a:xfrm>
          <a:off x="285750" y="17373600"/>
          <a:ext cx="809524" cy="1438095"/>
        </a:xfrm>
        <a:prstGeom prst="rect">
          <a:avLst/>
        </a:prstGeom>
      </xdr:spPr>
    </xdr:pic>
    <xdr:clientData/>
  </xdr:twoCellAnchor>
  <xdr:twoCellAnchor editAs="oneCell">
    <xdr:from>
      <xdr:col>2</xdr:col>
      <xdr:colOff>9525</xdr:colOff>
      <xdr:row>7</xdr:row>
      <xdr:rowOff>85725</xdr:rowOff>
    </xdr:from>
    <xdr:to>
      <xdr:col>9</xdr:col>
      <xdr:colOff>989777</xdr:colOff>
      <xdr:row>7</xdr:row>
      <xdr:rowOff>352392</xdr:rowOff>
    </xdr:to>
    <xdr:pic>
      <xdr:nvPicPr>
        <xdr:cNvPr id="16" name="Image 15">
          <a:extLst>
            <a:ext uri="{FF2B5EF4-FFF2-40B4-BE49-F238E27FC236}">
              <a16:creationId xmlns:a16="http://schemas.microsoft.com/office/drawing/2014/main" id="{DEE0BCFD-F588-4C48-9A6C-76C9EE217F8A}"/>
            </a:ext>
          </a:extLst>
        </xdr:cNvPr>
        <xdr:cNvPicPr>
          <a:picLocks noChangeAspect="1"/>
        </xdr:cNvPicPr>
      </xdr:nvPicPr>
      <xdr:blipFill>
        <a:blip xmlns:r="http://schemas.openxmlformats.org/officeDocument/2006/relationships" r:embed="rId13"/>
        <a:stretch>
          <a:fillRect/>
        </a:stretch>
      </xdr:blipFill>
      <xdr:spPr>
        <a:xfrm>
          <a:off x="295275" y="1600200"/>
          <a:ext cx="6580952" cy="266667"/>
        </a:xfrm>
        <a:prstGeom prst="rect">
          <a:avLst/>
        </a:prstGeom>
      </xdr:spPr>
    </xdr:pic>
    <xdr:clientData/>
  </xdr:twoCellAnchor>
  <xdr:twoCellAnchor editAs="oneCell">
    <xdr:from>
      <xdr:col>2</xdr:col>
      <xdr:colOff>0</xdr:colOff>
      <xdr:row>17</xdr:row>
      <xdr:rowOff>47625</xdr:rowOff>
    </xdr:from>
    <xdr:to>
      <xdr:col>3</xdr:col>
      <xdr:colOff>247524</xdr:colOff>
      <xdr:row>17</xdr:row>
      <xdr:rowOff>1333339</xdr:rowOff>
    </xdr:to>
    <xdr:pic>
      <xdr:nvPicPr>
        <xdr:cNvPr id="17" name="Image 16">
          <a:extLst>
            <a:ext uri="{FF2B5EF4-FFF2-40B4-BE49-F238E27FC236}">
              <a16:creationId xmlns:a16="http://schemas.microsoft.com/office/drawing/2014/main" id="{ABAC0AA1-A1FF-4EA0-91A4-E4E52F6154D8}"/>
            </a:ext>
          </a:extLst>
        </xdr:cNvPr>
        <xdr:cNvPicPr>
          <a:picLocks noChangeAspect="1"/>
        </xdr:cNvPicPr>
      </xdr:nvPicPr>
      <xdr:blipFill>
        <a:blip xmlns:r="http://schemas.openxmlformats.org/officeDocument/2006/relationships" r:embed="rId14"/>
        <a:stretch>
          <a:fillRect/>
        </a:stretch>
      </xdr:blipFill>
      <xdr:spPr>
        <a:xfrm>
          <a:off x="285750" y="6686550"/>
          <a:ext cx="1009524" cy="1285714"/>
        </a:xfrm>
        <a:prstGeom prst="rect">
          <a:avLst/>
        </a:prstGeom>
      </xdr:spPr>
    </xdr:pic>
    <xdr:clientData/>
  </xdr:twoCellAnchor>
  <xdr:twoCellAnchor editAs="oneCell">
    <xdr:from>
      <xdr:col>3</xdr:col>
      <xdr:colOff>552450</xdr:colOff>
      <xdr:row>26</xdr:row>
      <xdr:rowOff>66675</xdr:rowOff>
    </xdr:from>
    <xdr:to>
      <xdr:col>4</xdr:col>
      <xdr:colOff>618988</xdr:colOff>
      <xdr:row>26</xdr:row>
      <xdr:rowOff>1514294</xdr:rowOff>
    </xdr:to>
    <xdr:pic>
      <xdr:nvPicPr>
        <xdr:cNvPr id="18" name="Image 17">
          <a:extLst>
            <a:ext uri="{FF2B5EF4-FFF2-40B4-BE49-F238E27FC236}">
              <a16:creationId xmlns:a16="http://schemas.microsoft.com/office/drawing/2014/main" id="{FE8B516F-3B25-4F70-8A76-5FAA9D48F455}"/>
            </a:ext>
          </a:extLst>
        </xdr:cNvPr>
        <xdr:cNvPicPr>
          <a:picLocks noChangeAspect="1"/>
        </xdr:cNvPicPr>
      </xdr:nvPicPr>
      <xdr:blipFill>
        <a:blip xmlns:r="http://schemas.openxmlformats.org/officeDocument/2006/relationships" r:embed="rId15"/>
        <a:stretch>
          <a:fillRect/>
        </a:stretch>
      </xdr:blipFill>
      <xdr:spPr>
        <a:xfrm>
          <a:off x="1600200" y="13268325"/>
          <a:ext cx="1095238" cy="1447619"/>
        </a:xfrm>
        <a:prstGeom prst="rect">
          <a:avLst/>
        </a:prstGeom>
      </xdr:spPr>
    </xdr:pic>
    <xdr:clientData/>
  </xdr:twoCellAnchor>
  <xdr:twoCellAnchor editAs="oneCell">
    <xdr:from>
      <xdr:col>2</xdr:col>
      <xdr:colOff>0</xdr:colOff>
      <xdr:row>61</xdr:row>
      <xdr:rowOff>0</xdr:rowOff>
    </xdr:from>
    <xdr:to>
      <xdr:col>3</xdr:col>
      <xdr:colOff>1028476</xdr:colOff>
      <xdr:row>67</xdr:row>
      <xdr:rowOff>228429</xdr:rowOff>
    </xdr:to>
    <xdr:pic>
      <xdr:nvPicPr>
        <xdr:cNvPr id="2" name="Image 1">
          <a:extLst>
            <a:ext uri="{FF2B5EF4-FFF2-40B4-BE49-F238E27FC236}">
              <a16:creationId xmlns:a16="http://schemas.microsoft.com/office/drawing/2014/main" id="{8E7C1A8F-CDCF-47F2-88DF-166A620FD88E}"/>
            </a:ext>
          </a:extLst>
        </xdr:cNvPr>
        <xdr:cNvPicPr>
          <a:picLocks noChangeAspect="1"/>
        </xdr:cNvPicPr>
      </xdr:nvPicPr>
      <xdr:blipFill>
        <a:blip xmlns:r="http://schemas.openxmlformats.org/officeDocument/2006/relationships" r:embed="rId16"/>
        <a:stretch>
          <a:fillRect/>
        </a:stretch>
      </xdr:blipFill>
      <xdr:spPr>
        <a:xfrm>
          <a:off x="676275" y="26403300"/>
          <a:ext cx="1790476" cy="1371429"/>
        </a:xfrm>
        <a:prstGeom prst="rect">
          <a:avLst/>
        </a:prstGeom>
      </xdr:spPr>
    </xdr:pic>
    <xdr:clientData/>
  </xdr:twoCellAnchor>
  <xdr:twoCellAnchor editAs="oneCell">
    <xdr:from>
      <xdr:col>2</xdr:col>
      <xdr:colOff>0</xdr:colOff>
      <xdr:row>71</xdr:row>
      <xdr:rowOff>47625</xdr:rowOff>
    </xdr:from>
    <xdr:to>
      <xdr:col>3</xdr:col>
      <xdr:colOff>428476</xdr:colOff>
      <xdr:row>78</xdr:row>
      <xdr:rowOff>47458</xdr:rowOff>
    </xdr:to>
    <xdr:pic>
      <xdr:nvPicPr>
        <xdr:cNvPr id="4" name="Image 3">
          <a:extLst>
            <a:ext uri="{FF2B5EF4-FFF2-40B4-BE49-F238E27FC236}">
              <a16:creationId xmlns:a16="http://schemas.microsoft.com/office/drawing/2014/main" id="{07A9EE9C-2A97-4446-8027-7675E7840F27}"/>
            </a:ext>
          </a:extLst>
        </xdr:cNvPr>
        <xdr:cNvPicPr>
          <a:picLocks noChangeAspect="1"/>
        </xdr:cNvPicPr>
      </xdr:nvPicPr>
      <xdr:blipFill>
        <a:blip xmlns:r="http://schemas.openxmlformats.org/officeDocument/2006/relationships" r:embed="rId17"/>
        <a:stretch>
          <a:fillRect/>
        </a:stretch>
      </xdr:blipFill>
      <xdr:spPr>
        <a:xfrm>
          <a:off x="676275" y="28155900"/>
          <a:ext cx="1190476" cy="1333333"/>
        </a:xfrm>
        <a:prstGeom prst="rect">
          <a:avLst/>
        </a:prstGeom>
      </xdr:spPr>
    </xdr:pic>
    <xdr:clientData/>
  </xdr:twoCellAnchor>
  <xdr:twoCellAnchor editAs="oneCell">
    <xdr:from>
      <xdr:col>2</xdr:col>
      <xdr:colOff>0</xdr:colOff>
      <xdr:row>81</xdr:row>
      <xdr:rowOff>9525</xdr:rowOff>
    </xdr:from>
    <xdr:to>
      <xdr:col>3</xdr:col>
      <xdr:colOff>152286</xdr:colOff>
      <xdr:row>88</xdr:row>
      <xdr:rowOff>28406</xdr:rowOff>
    </xdr:to>
    <xdr:pic>
      <xdr:nvPicPr>
        <xdr:cNvPr id="19" name="Image 18">
          <a:extLst>
            <a:ext uri="{FF2B5EF4-FFF2-40B4-BE49-F238E27FC236}">
              <a16:creationId xmlns:a16="http://schemas.microsoft.com/office/drawing/2014/main" id="{2FDE2812-F417-439E-ABF4-7957FF45D424}"/>
            </a:ext>
          </a:extLst>
        </xdr:cNvPr>
        <xdr:cNvPicPr>
          <a:picLocks noChangeAspect="1"/>
        </xdr:cNvPicPr>
      </xdr:nvPicPr>
      <xdr:blipFill>
        <a:blip xmlns:r="http://schemas.openxmlformats.org/officeDocument/2006/relationships" r:embed="rId18"/>
        <a:stretch>
          <a:fillRect/>
        </a:stretch>
      </xdr:blipFill>
      <xdr:spPr>
        <a:xfrm>
          <a:off x="676275" y="29908500"/>
          <a:ext cx="914286" cy="1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21453</xdr:colOff>
      <xdr:row>0</xdr:row>
      <xdr:rowOff>10584</xdr:rowOff>
    </xdr:from>
    <xdr:to>
      <xdr:col>1</xdr:col>
      <xdr:colOff>111530</xdr:colOff>
      <xdr:row>1</xdr:row>
      <xdr:rowOff>409567</xdr:rowOff>
    </xdr:to>
    <xdr:pic>
      <xdr:nvPicPr>
        <xdr:cNvPr id="3" name="Image 2">
          <a:extLst>
            <a:ext uri="{FF2B5EF4-FFF2-40B4-BE49-F238E27FC236}">
              <a16:creationId xmlns:a16="http://schemas.microsoft.com/office/drawing/2014/main" id="{903363B4-9938-42E9-805B-B9EB33EC53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3" y="10584"/>
          <a:ext cx="1666994" cy="9704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9145</xdr:colOff>
      <xdr:row>0</xdr:row>
      <xdr:rowOff>2</xdr:rowOff>
    </xdr:from>
    <xdr:to>
      <xdr:col>1</xdr:col>
      <xdr:colOff>93230</xdr:colOff>
      <xdr:row>1</xdr:row>
      <xdr:rowOff>403266</xdr:rowOff>
    </xdr:to>
    <xdr:pic>
      <xdr:nvPicPr>
        <xdr:cNvPr id="4" name="Image 3">
          <a:extLst>
            <a:ext uri="{FF2B5EF4-FFF2-40B4-BE49-F238E27FC236}">
              <a16:creationId xmlns:a16="http://schemas.microsoft.com/office/drawing/2014/main" id="{3BCED882-34B1-4B1D-9A2D-E3E8877897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5" y="2"/>
          <a:ext cx="1668018" cy="9704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37721</xdr:colOff>
      <xdr:row>0</xdr:row>
      <xdr:rowOff>0</xdr:rowOff>
    </xdr:from>
    <xdr:to>
      <xdr:col>1</xdr:col>
      <xdr:colOff>194804</xdr:colOff>
      <xdr:row>2</xdr:row>
      <xdr:rowOff>14360</xdr:rowOff>
    </xdr:to>
    <xdr:pic>
      <xdr:nvPicPr>
        <xdr:cNvPr id="2" name="Image 1">
          <a:extLst>
            <a:ext uri="{FF2B5EF4-FFF2-40B4-BE49-F238E27FC236}">
              <a16:creationId xmlns:a16="http://schemas.microsoft.com/office/drawing/2014/main" id="{FE54B2A2-6050-49DA-BDA2-C5E2675CF1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21" y="0"/>
          <a:ext cx="1741273" cy="100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527236</xdr:colOff>
      <xdr:row>16</xdr:row>
      <xdr:rowOff>133950</xdr:rowOff>
    </xdr:from>
    <xdr:to>
      <xdr:col>6</xdr:col>
      <xdr:colOff>476250</xdr:colOff>
      <xdr:row>39</xdr:row>
      <xdr:rowOff>26948</xdr:rowOff>
    </xdr:to>
    <xdr:pic>
      <xdr:nvPicPr>
        <xdr:cNvPr id="2" name="Image 1">
          <a:extLst>
            <a:ext uri="{FF2B5EF4-FFF2-40B4-BE49-F238E27FC236}">
              <a16:creationId xmlns:a16="http://schemas.microsoft.com/office/drawing/2014/main" id="{3B9A9571-DCE6-423B-BBE7-40C003672E65}"/>
            </a:ext>
          </a:extLst>
        </xdr:cNvPr>
        <xdr:cNvPicPr>
          <a:picLocks noChangeAspect="1"/>
        </xdr:cNvPicPr>
      </xdr:nvPicPr>
      <xdr:blipFill>
        <a:blip xmlns:r="http://schemas.openxmlformats.org/officeDocument/2006/relationships" r:embed="rId1"/>
        <a:stretch>
          <a:fillRect/>
        </a:stretch>
      </xdr:blipFill>
      <xdr:spPr>
        <a:xfrm>
          <a:off x="1289236" y="3848700"/>
          <a:ext cx="6616514" cy="3817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ssier/T-GAS/Prestations/Service%20Energie/2020-04_Mega_Energie/Comparatif%20tarifs%20Electricite_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ssier/T-GAS/Prestations/Service%20IBERDROLA%20Electricite/Comparatif%20tarifs%20Electricite_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Electricité_Comparatifs_Base"/>
      <sheetName val="Electricité_Comparatifs_HP-HC"/>
      <sheetName val="EDF"/>
      <sheetName val="MEGA ENERGIE"/>
      <sheetName val="Calculateur_conso_bimensuelles"/>
      <sheetName val="Feuil1 (2)"/>
    </sheetNames>
    <sheetDataSet>
      <sheetData sheetId="0"/>
      <sheetData sheetId="1"/>
      <sheetData sheetId="2"/>
      <sheetData sheetId="3">
        <row r="9">
          <cell r="B9">
            <v>3</v>
          </cell>
          <cell r="C9">
            <v>6.72</v>
          </cell>
          <cell r="D9">
            <v>9.6500000000000002E-2</v>
          </cell>
        </row>
        <row r="10">
          <cell r="B10">
            <v>6</v>
          </cell>
          <cell r="C10">
            <v>8.1</v>
          </cell>
          <cell r="D10">
            <v>9.6500000000000002E-2</v>
          </cell>
        </row>
        <row r="11">
          <cell r="B11">
            <v>9</v>
          </cell>
          <cell r="C11">
            <v>9.5</v>
          </cell>
          <cell r="D11">
            <v>9.9900000000000003E-2</v>
          </cell>
        </row>
        <row r="12">
          <cell r="B12">
            <v>12</v>
          </cell>
          <cell r="C12">
            <v>10.92</v>
          </cell>
          <cell r="D12">
            <v>9.9900000000000003E-2</v>
          </cell>
        </row>
        <row r="13">
          <cell r="B13">
            <v>15</v>
          </cell>
          <cell r="C13">
            <v>12.229999999999999</v>
          </cell>
          <cell r="D13">
            <v>9.9900000000000003E-2</v>
          </cell>
        </row>
        <row r="14">
          <cell r="B14">
            <v>18</v>
          </cell>
          <cell r="C14">
            <v>13.71</v>
          </cell>
          <cell r="D14">
            <v>9.9900000000000003E-2</v>
          </cell>
        </row>
        <row r="15">
          <cell r="B15">
            <v>24</v>
          </cell>
          <cell r="C15">
            <v>17.03</v>
          </cell>
          <cell r="D15">
            <v>9.9900000000000003E-2</v>
          </cell>
        </row>
        <row r="16">
          <cell r="B16">
            <v>30</v>
          </cell>
          <cell r="C16">
            <v>20.150000000000002</v>
          </cell>
          <cell r="D16">
            <v>9.9900000000000003E-2</v>
          </cell>
        </row>
        <row r="17">
          <cell r="B17">
            <v>36</v>
          </cell>
          <cell r="C17">
            <v>22.99</v>
          </cell>
          <cell r="D17">
            <v>9.9900000000000003E-2</v>
          </cell>
        </row>
        <row r="23">
          <cell r="B23">
            <v>6</v>
          </cell>
          <cell r="C23">
            <v>8.7000000000000011</v>
          </cell>
          <cell r="D23">
            <v>0.11609999999999999</v>
          </cell>
          <cell r="E23">
            <v>7.9100000000000004E-2</v>
          </cell>
        </row>
        <row r="24">
          <cell r="B24">
            <v>9</v>
          </cell>
          <cell r="C24">
            <v>10.56</v>
          </cell>
          <cell r="D24">
            <v>0.11609999999999999</v>
          </cell>
          <cell r="E24">
            <v>7.9100000000000004E-2</v>
          </cell>
        </row>
        <row r="25">
          <cell r="B25">
            <v>12</v>
          </cell>
          <cell r="C25">
            <v>12.280000000000001</v>
          </cell>
          <cell r="D25">
            <v>0.11609999999999999</v>
          </cell>
          <cell r="E25">
            <v>7.9100000000000004E-2</v>
          </cell>
        </row>
        <row r="26">
          <cell r="B26">
            <v>15</v>
          </cell>
          <cell r="C26">
            <v>13.86</v>
          </cell>
          <cell r="D26">
            <v>0.11609999999999999</v>
          </cell>
          <cell r="E26">
            <v>7.9100000000000004E-2</v>
          </cell>
        </row>
        <row r="27">
          <cell r="B27">
            <v>18</v>
          </cell>
          <cell r="C27">
            <v>15.280000000000001</v>
          </cell>
          <cell r="D27">
            <v>0.11609999999999999</v>
          </cell>
          <cell r="E27">
            <v>7.9100000000000004E-2</v>
          </cell>
        </row>
        <row r="28">
          <cell r="B28">
            <v>24</v>
          </cell>
          <cell r="C28">
            <v>18.64</v>
          </cell>
          <cell r="D28">
            <v>0.11609999999999999</v>
          </cell>
          <cell r="E28">
            <v>7.9100000000000004E-2</v>
          </cell>
        </row>
        <row r="29">
          <cell r="B29">
            <v>30</v>
          </cell>
          <cell r="C29">
            <v>21.5</v>
          </cell>
          <cell r="D29">
            <v>0.11609999999999999</v>
          </cell>
          <cell r="E29">
            <v>7.9100000000000004E-2</v>
          </cell>
        </row>
        <row r="30">
          <cell r="B30">
            <v>36</v>
          </cell>
          <cell r="C30">
            <v>24.26</v>
          </cell>
          <cell r="D30">
            <v>0.11609999999999999</v>
          </cell>
          <cell r="E30">
            <v>7.9100000000000004E-2</v>
          </cell>
        </row>
        <row r="42">
          <cell r="B42">
            <v>3</v>
          </cell>
          <cell r="C42">
            <v>9.68</v>
          </cell>
          <cell r="D42">
            <v>0.1037</v>
          </cell>
        </row>
        <row r="43">
          <cell r="B43">
            <v>6</v>
          </cell>
          <cell r="C43">
            <v>11.38</v>
          </cell>
          <cell r="D43">
            <v>0.1037</v>
          </cell>
        </row>
        <row r="44">
          <cell r="B44">
            <v>9</v>
          </cell>
          <cell r="C44">
            <v>12.87</v>
          </cell>
          <cell r="D44">
            <v>0.1037</v>
          </cell>
        </row>
        <row r="45">
          <cell r="B45">
            <v>12</v>
          </cell>
          <cell r="C45">
            <v>14.51</v>
          </cell>
          <cell r="D45">
            <v>0.1037</v>
          </cell>
        </row>
        <row r="46">
          <cell r="B46">
            <v>15</v>
          </cell>
          <cell r="C46">
            <v>15.799999999999999</v>
          </cell>
          <cell r="D46">
            <v>0.1037</v>
          </cell>
        </row>
        <row r="47">
          <cell r="B47">
            <v>18</v>
          </cell>
          <cell r="C47">
            <v>17.330000000000002</v>
          </cell>
          <cell r="D47">
            <v>0.1037</v>
          </cell>
        </row>
        <row r="48">
          <cell r="B48">
            <v>24</v>
          </cell>
          <cell r="C48">
            <v>20.650000000000002</v>
          </cell>
          <cell r="D48">
            <v>0.1037</v>
          </cell>
        </row>
        <row r="49">
          <cell r="B49">
            <v>30</v>
          </cell>
          <cell r="C49">
            <v>23.810000000000002</v>
          </cell>
          <cell r="D49">
            <v>0.1037</v>
          </cell>
        </row>
        <row r="50">
          <cell r="B50">
            <v>36</v>
          </cell>
          <cell r="C50">
            <v>27.040000000000003</v>
          </cell>
          <cell r="D50">
            <v>0.1037</v>
          </cell>
        </row>
        <row r="56">
          <cell r="B56">
            <v>6</v>
          </cell>
          <cell r="C56">
            <v>11.409999999999998</v>
          </cell>
          <cell r="D56">
            <v>0.1125</v>
          </cell>
          <cell r="E56">
            <v>7.85E-2</v>
          </cell>
        </row>
        <row r="57">
          <cell r="B57">
            <v>9</v>
          </cell>
          <cell r="C57">
            <v>13</v>
          </cell>
          <cell r="D57">
            <v>0.1125</v>
          </cell>
          <cell r="E57">
            <v>7.85E-2</v>
          </cell>
        </row>
        <row r="58">
          <cell r="B58">
            <v>12</v>
          </cell>
          <cell r="C58">
            <v>14.63</v>
          </cell>
          <cell r="D58">
            <v>0.1125</v>
          </cell>
          <cell r="E58">
            <v>7.85E-2</v>
          </cell>
        </row>
        <row r="59">
          <cell r="B59">
            <v>15</v>
          </cell>
          <cell r="C59">
            <v>16.29</v>
          </cell>
          <cell r="D59">
            <v>0.1125</v>
          </cell>
          <cell r="E59">
            <v>7.85E-2</v>
          </cell>
        </row>
        <row r="60">
          <cell r="B60">
            <v>18</v>
          </cell>
          <cell r="C60">
            <v>17.72</v>
          </cell>
          <cell r="D60">
            <v>0.1125</v>
          </cell>
          <cell r="E60">
            <v>7.85E-2</v>
          </cell>
        </row>
        <row r="61">
          <cell r="B61">
            <v>24</v>
          </cell>
          <cell r="C61">
            <v>21.14</v>
          </cell>
          <cell r="D61">
            <v>0.1125</v>
          </cell>
          <cell r="E61">
            <v>7.85E-2</v>
          </cell>
        </row>
        <row r="62">
          <cell r="B62">
            <v>30</v>
          </cell>
          <cell r="C62">
            <v>24.2</v>
          </cell>
          <cell r="D62">
            <v>0.1125</v>
          </cell>
          <cell r="E62">
            <v>7.85E-2</v>
          </cell>
        </row>
        <row r="63">
          <cell r="B63">
            <v>36</v>
          </cell>
          <cell r="C63">
            <v>27.27</v>
          </cell>
          <cell r="D63">
            <v>0.1125</v>
          </cell>
          <cell r="E63">
            <v>7.85E-2</v>
          </cell>
        </row>
      </sheetData>
      <sheetData sheetId="4">
        <row r="9">
          <cell r="B9">
            <v>3</v>
          </cell>
          <cell r="C9">
            <v>6.72</v>
          </cell>
          <cell r="D9">
            <v>7.6200000000000004E-2</v>
          </cell>
        </row>
        <row r="10">
          <cell r="B10">
            <v>6</v>
          </cell>
          <cell r="C10">
            <v>8.1</v>
          </cell>
          <cell r="D10">
            <v>7.6200000000000004E-2</v>
          </cell>
        </row>
        <row r="11">
          <cell r="B11">
            <v>9</v>
          </cell>
          <cell r="C11">
            <v>9.5</v>
          </cell>
          <cell r="D11">
            <v>7.8899999999999998E-2</v>
          </cell>
        </row>
        <row r="12">
          <cell r="B12">
            <v>12</v>
          </cell>
          <cell r="C12">
            <v>10.92</v>
          </cell>
          <cell r="D12">
            <v>7.8899999999999998E-2</v>
          </cell>
        </row>
        <row r="13">
          <cell r="B13">
            <v>15</v>
          </cell>
          <cell r="C13">
            <v>12.23</v>
          </cell>
          <cell r="D13">
            <v>7.8899999999999998E-2</v>
          </cell>
        </row>
        <row r="14">
          <cell r="B14">
            <v>18</v>
          </cell>
          <cell r="C14">
            <v>13.71</v>
          </cell>
          <cell r="D14">
            <v>7.8899999999999998E-2</v>
          </cell>
        </row>
        <row r="15">
          <cell r="B15">
            <v>24</v>
          </cell>
          <cell r="C15">
            <v>17.03</v>
          </cell>
          <cell r="D15">
            <v>7.8899999999999998E-2</v>
          </cell>
        </row>
        <row r="16">
          <cell r="B16">
            <v>30</v>
          </cell>
          <cell r="C16">
            <v>20.149999999999999</v>
          </cell>
          <cell r="D16">
            <v>7.8899999999999998E-2</v>
          </cell>
        </row>
        <row r="17">
          <cell r="B17">
            <v>36</v>
          </cell>
          <cell r="C17">
            <v>22.99</v>
          </cell>
          <cell r="D17">
            <v>7.8899999999999998E-2</v>
          </cell>
        </row>
        <row r="23">
          <cell r="B23">
            <v>6</v>
          </cell>
          <cell r="C23">
            <v>8.6999999999999993</v>
          </cell>
          <cell r="D23">
            <v>9.1700000000000004E-2</v>
          </cell>
          <cell r="E23">
            <v>6.25E-2</v>
          </cell>
        </row>
        <row r="24">
          <cell r="B24">
            <v>9</v>
          </cell>
          <cell r="C24">
            <v>10.56</v>
          </cell>
          <cell r="D24">
            <v>9.1700000000000004E-2</v>
          </cell>
          <cell r="E24">
            <v>6.25E-2</v>
          </cell>
        </row>
        <row r="25">
          <cell r="B25">
            <v>12</v>
          </cell>
          <cell r="C25">
            <v>12.28</v>
          </cell>
          <cell r="D25">
            <v>9.1700000000000004E-2</v>
          </cell>
          <cell r="E25">
            <v>6.25E-2</v>
          </cell>
        </row>
        <row r="26">
          <cell r="B26">
            <v>15</v>
          </cell>
          <cell r="C26">
            <v>13.86</v>
          </cell>
          <cell r="D26">
            <v>9.1700000000000004E-2</v>
          </cell>
          <cell r="E26">
            <v>6.25E-2</v>
          </cell>
        </row>
        <row r="27">
          <cell r="B27">
            <v>18</v>
          </cell>
          <cell r="C27">
            <v>15.28</v>
          </cell>
          <cell r="D27">
            <v>9.1700000000000004E-2</v>
          </cell>
          <cell r="E27">
            <v>6.25E-2</v>
          </cell>
        </row>
        <row r="28">
          <cell r="B28">
            <v>24</v>
          </cell>
          <cell r="C28">
            <v>18.64</v>
          </cell>
          <cell r="D28">
            <v>9.1700000000000004E-2</v>
          </cell>
          <cell r="E28">
            <v>6.25E-2</v>
          </cell>
        </row>
        <row r="29">
          <cell r="B29">
            <v>30</v>
          </cell>
          <cell r="C29">
            <v>21.5</v>
          </cell>
          <cell r="D29">
            <v>9.1700000000000004E-2</v>
          </cell>
          <cell r="E29">
            <v>6.25E-2</v>
          </cell>
        </row>
        <row r="30">
          <cell r="B30">
            <v>36</v>
          </cell>
          <cell r="C30">
            <v>24.26</v>
          </cell>
          <cell r="D30">
            <v>9.1700000000000004E-2</v>
          </cell>
          <cell r="E30">
            <v>6.25E-2</v>
          </cell>
        </row>
        <row r="39">
          <cell r="B39">
            <v>3</v>
          </cell>
        </row>
        <row r="40">
          <cell r="B40">
            <v>6</v>
          </cell>
        </row>
        <row r="41">
          <cell r="B41">
            <v>9</v>
          </cell>
        </row>
        <row r="42">
          <cell r="B42">
            <v>12</v>
          </cell>
        </row>
        <row r="43">
          <cell r="B43">
            <v>15</v>
          </cell>
        </row>
        <row r="44">
          <cell r="B44">
            <v>18</v>
          </cell>
        </row>
        <row r="45">
          <cell r="B45">
            <v>24</v>
          </cell>
        </row>
        <row r="46">
          <cell r="B46">
            <v>30</v>
          </cell>
        </row>
        <row r="47">
          <cell r="B47">
            <v>36</v>
          </cell>
        </row>
        <row r="53">
          <cell r="B53">
            <v>6</v>
          </cell>
        </row>
        <row r="54">
          <cell r="B54">
            <v>9</v>
          </cell>
        </row>
        <row r="55">
          <cell r="B55">
            <v>12</v>
          </cell>
        </row>
        <row r="56">
          <cell r="B56">
            <v>15</v>
          </cell>
        </row>
        <row r="57">
          <cell r="B57">
            <v>18</v>
          </cell>
        </row>
        <row r="58">
          <cell r="B58">
            <v>24</v>
          </cell>
        </row>
        <row r="59">
          <cell r="B59">
            <v>30</v>
          </cell>
        </row>
        <row r="60">
          <cell r="B60">
            <v>36</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ité_Comparatifs_Base"/>
      <sheetName val="Electricité_Comparatifs_HP-HC"/>
      <sheetName val="EDF"/>
      <sheetName val="IBERDROLA"/>
      <sheetName val="Calcul_conso_bimensuelles"/>
      <sheetName val="Feuil1 (2)"/>
    </sheetNames>
    <sheetDataSet>
      <sheetData sheetId="0" refreshError="1"/>
      <sheetData sheetId="1" refreshError="1"/>
      <sheetData sheetId="2">
        <row r="23">
          <cell r="B23">
            <v>6</v>
          </cell>
          <cell r="C23">
            <v>8.08</v>
          </cell>
          <cell r="D23">
            <v>9.9500000000000005E-2</v>
          </cell>
          <cell r="E23">
            <v>7.0300000000000001E-2</v>
          </cell>
          <cell r="H23">
            <v>6</v>
          </cell>
          <cell r="I23">
            <v>10.42</v>
          </cell>
          <cell r="J23">
            <v>9.8799999999999999E-2</v>
          </cell>
          <cell r="K23">
            <v>7.1499999999999994E-2</v>
          </cell>
        </row>
        <row r="24">
          <cell r="B24">
            <v>9</v>
          </cell>
          <cell r="C24">
            <v>9.7799999999999994</v>
          </cell>
          <cell r="D24">
            <v>9.9500000000000005E-2</v>
          </cell>
          <cell r="E24">
            <v>7.0300000000000001E-2</v>
          </cell>
          <cell r="H24">
            <v>9</v>
          </cell>
          <cell r="I24">
            <v>11.84</v>
          </cell>
          <cell r="J24">
            <v>9.8799999999999999E-2</v>
          </cell>
          <cell r="K24">
            <v>7.1499999999999994E-2</v>
          </cell>
        </row>
        <row r="25">
          <cell r="B25">
            <v>12</v>
          </cell>
          <cell r="C25">
            <v>11.34</v>
          </cell>
          <cell r="D25">
            <v>9.9500000000000005E-2</v>
          </cell>
          <cell r="E25">
            <v>7.0300000000000001E-2</v>
          </cell>
          <cell r="H25">
            <v>12</v>
          </cell>
          <cell r="I25">
            <v>13.31</v>
          </cell>
          <cell r="J25">
            <v>9.8799999999999999E-2</v>
          </cell>
          <cell r="K25">
            <v>7.1499999999999994E-2</v>
          </cell>
        </row>
        <row r="26">
          <cell r="B26">
            <v>15</v>
          </cell>
          <cell r="C26">
            <v>12.76</v>
          </cell>
          <cell r="D26">
            <v>9.9500000000000005E-2</v>
          </cell>
          <cell r="E26">
            <v>7.0300000000000001E-2</v>
          </cell>
          <cell r="H26">
            <v>15</v>
          </cell>
          <cell r="I26">
            <v>14.81</v>
          </cell>
          <cell r="J26">
            <v>9.8799999999999999E-2</v>
          </cell>
          <cell r="K26">
            <v>7.1499999999999994E-2</v>
          </cell>
        </row>
        <row r="27">
          <cell r="B27">
            <v>18</v>
          </cell>
          <cell r="C27">
            <v>14.03</v>
          </cell>
          <cell r="D27">
            <v>9.9500000000000005E-2</v>
          </cell>
          <cell r="E27">
            <v>7.0300000000000001E-2</v>
          </cell>
          <cell r="H27">
            <v>18</v>
          </cell>
          <cell r="I27">
            <v>16.059999999999999</v>
          </cell>
          <cell r="J27">
            <v>9.8799999999999999E-2</v>
          </cell>
          <cell r="K27">
            <v>7.1499999999999994E-2</v>
          </cell>
        </row>
        <row r="28">
          <cell r="B28">
            <v>24</v>
          </cell>
          <cell r="C28">
            <v>17.09</v>
          </cell>
          <cell r="D28">
            <v>9.9500000000000005E-2</v>
          </cell>
          <cell r="E28">
            <v>7.0300000000000001E-2</v>
          </cell>
          <cell r="H28">
            <v>24</v>
          </cell>
          <cell r="I28">
            <v>19.14</v>
          </cell>
          <cell r="J28">
            <v>9.8799999999999999E-2</v>
          </cell>
          <cell r="K28">
            <v>7.1499999999999994E-2</v>
          </cell>
        </row>
        <row r="29">
          <cell r="B29">
            <v>30</v>
          </cell>
          <cell r="C29">
            <v>19.7</v>
          </cell>
          <cell r="D29">
            <v>9.9500000000000005E-2</v>
          </cell>
          <cell r="E29">
            <v>7.0300000000000001E-2</v>
          </cell>
          <cell r="H29">
            <v>30</v>
          </cell>
          <cell r="I29">
            <v>21.82</v>
          </cell>
          <cell r="J29">
            <v>9.8799999999999999E-2</v>
          </cell>
          <cell r="K29">
            <v>7.1499999999999994E-2</v>
          </cell>
        </row>
        <row r="30">
          <cell r="B30">
            <v>36</v>
          </cell>
          <cell r="C30">
            <v>22.06</v>
          </cell>
          <cell r="D30">
            <v>9.9500000000000005E-2</v>
          </cell>
          <cell r="E30">
            <v>7.0300000000000001E-2</v>
          </cell>
          <cell r="H30">
            <v>36</v>
          </cell>
          <cell r="I30">
            <v>24.5</v>
          </cell>
          <cell r="J30">
            <v>9.8799999999999999E-2</v>
          </cell>
          <cell r="K30">
            <v>7.1499999999999994E-2</v>
          </cell>
        </row>
      </sheetData>
      <sheetData sheetId="3">
        <row r="23">
          <cell r="B23">
            <v>6</v>
          </cell>
          <cell r="C23">
            <v>8.08</v>
          </cell>
          <cell r="D23">
            <v>8.9550000000000005E-2</v>
          </cell>
          <cell r="E23">
            <v>6.3270000000000007E-2</v>
          </cell>
          <cell r="H23">
            <v>6</v>
          </cell>
          <cell r="I23">
            <v>10.42</v>
          </cell>
          <cell r="J23">
            <v>8.8919999999999999E-2</v>
          </cell>
          <cell r="K23">
            <v>6.4350000000000004E-2</v>
          </cell>
        </row>
        <row r="24">
          <cell r="B24">
            <v>9</v>
          </cell>
          <cell r="C24">
            <v>9.7799999999999994</v>
          </cell>
          <cell r="D24">
            <v>8.9550000000000005E-2</v>
          </cell>
          <cell r="E24">
            <v>6.3270000000000007E-2</v>
          </cell>
          <cell r="H24">
            <v>9</v>
          </cell>
          <cell r="I24">
            <v>11.84</v>
          </cell>
          <cell r="J24">
            <v>8.8919999999999999E-2</v>
          </cell>
          <cell r="K24">
            <v>6.4350000000000004E-2</v>
          </cell>
        </row>
        <row r="25">
          <cell r="B25">
            <v>12</v>
          </cell>
          <cell r="C25">
            <v>11.34</v>
          </cell>
          <cell r="D25">
            <v>8.9550000000000005E-2</v>
          </cell>
          <cell r="E25">
            <v>6.3270000000000007E-2</v>
          </cell>
          <cell r="H25">
            <v>12</v>
          </cell>
          <cell r="I25">
            <v>13.31</v>
          </cell>
          <cell r="J25">
            <v>8.8919999999999999E-2</v>
          </cell>
          <cell r="K25">
            <v>6.4350000000000004E-2</v>
          </cell>
        </row>
        <row r="26">
          <cell r="B26">
            <v>15</v>
          </cell>
          <cell r="C26">
            <v>12.76</v>
          </cell>
          <cell r="D26">
            <v>8.9550000000000005E-2</v>
          </cell>
          <cell r="E26">
            <v>6.3270000000000007E-2</v>
          </cell>
          <cell r="H26">
            <v>15</v>
          </cell>
          <cell r="I26">
            <v>14.81</v>
          </cell>
          <cell r="J26">
            <v>8.8919999999999999E-2</v>
          </cell>
          <cell r="K26">
            <v>6.4350000000000004E-2</v>
          </cell>
        </row>
        <row r="27">
          <cell r="B27">
            <v>18</v>
          </cell>
          <cell r="C27">
            <v>14.03</v>
          </cell>
          <cell r="D27">
            <v>8.9550000000000005E-2</v>
          </cell>
          <cell r="E27">
            <v>6.3270000000000007E-2</v>
          </cell>
          <cell r="H27">
            <v>18</v>
          </cell>
          <cell r="I27">
            <v>16.059999999999999</v>
          </cell>
          <cell r="J27">
            <v>8.8919999999999999E-2</v>
          </cell>
          <cell r="K27">
            <v>6.4350000000000004E-2</v>
          </cell>
        </row>
        <row r="28">
          <cell r="B28">
            <v>24</v>
          </cell>
          <cell r="C28">
            <v>17.09</v>
          </cell>
          <cell r="D28">
            <v>8.9550000000000005E-2</v>
          </cell>
          <cell r="E28">
            <v>6.3270000000000007E-2</v>
          </cell>
          <cell r="H28">
            <v>24</v>
          </cell>
          <cell r="I28">
            <v>19.14</v>
          </cell>
          <cell r="J28">
            <v>8.8919999999999999E-2</v>
          </cell>
          <cell r="K28">
            <v>6.4350000000000004E-2</v>
          </cell>
        </row>
        <row r="29">
          <cell r="B29">
            <v>30</v>
          </cell>
          <cell r="C29">
            <v>19.7</v>
          </cell>
          <cell r="D29">
            <v>8.9550000000000005E-2</v>
          </cell>
          <cell r="E29">
            <v>6.3270000000000007E-2</v>
          </cell>
          <cell r="H29">
            <v>30</v>
          </cell>
          <cell r="I29">
            <v>21.82</v>
          </cell>
          <cell r="J29">
            <v>8.8919999999999999E-2</v>
          </cell>
          <cell r="K29">
            <v>6.4350000000000004E-2</v>
          </cell>
        </row>
        <row r="30">
          <cell r="B30">
            <v>36</v>
          </cell>
          <cell r="C30">
            <v>22.06</v>
          </cell>
          <cell r="D30">
            <v>8.9550000000000005E-2</v>
          </cell>
          <cell r="E30">
            <v>6.3270000000000007E-2</v>
          </cell>
          <cell r="H30">
            <v>36</v>
          </cell>
          <cell r="I30">
            <v>24.5</v>
          </cell>
          <cell r="J30">
            <v>8.8919999999999999E-2</v>
          </cell>
          <cell r="K30">
            <v>6.4350000000000004E-2</v>
          </cell>
        </row>
      </sheetData>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llowatt.fr/achats-groupes/energie-classique/resultats/?utm_source=t-gas&amp;utm_medium=partner&amp;utm_campaign=ag-2021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zonestarifaires.selectra.info/resultat.ph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6A88-52BA-4758-81A1-D525D8671E03}">
  <sheetPr>
    <tabColor rgb="FFFFFF00"/>
  </sheetPr>
  <dimension ref="A1:J94"/>
  <sheetViews>
    <sheetView showGridLines="0" showRowColHeaders="0" showRuler="0" zoomScaleNormal="100" workbookViewId="0">
      <pane ySplit="4" topLeftCell="A5" activePane="bottomLeft" state="frozen"/>
      <selection pane="bottomLeft" sqref="A1:J1"/>
    </sheetView>
  </sheetViews>
  <sheetFormatPr baseColWidth="10" defaultRowHeight="15" x14ac:dyDescent="0.25"/>
  <cols>
    <col min="1" max="1" width="4.28515625" style="268" customWidth="1"/>
    <col min="2" max="2" width="5.85546875" style="322" customWidth="1"/>
    <col min="3" max="3" width="11.42578125" style="268"/>
    <col min="4" max="4" width="15.42578125" style="268" customWidth="1"/>
    <col min="5" max="9" width="11.42578125" style="268"/>
    <col min="10" max="10" width="34.5703125" style="268" customWidth="1"/>
    <col min="11" max="11" width="7.7109375" style="268" customWidth="1"/>
    <col min="12" max="16384" width="11.42578125" style="268"/>
  </cols>
  <sheetData>
    <row r="1" spans="1:10" ht="30" customHeight="1" x14ac:dyDescent="0.25">
      <c r="A1" s="384" t="s">
        <v>246</v>
      </c>
      <c r="B1" s="384"/>
      <c r="C1" s="384"/>
      <c r="D1" s="384"/>
      <c r="E1" s="384"/>
      <c r="F1" s="384"/>
      <c r="G1" s="384"/>
      <c r="H1" s="384"/>
      <c r="I1" s="384"/>
      <c r="J1" s="384"/>
    </row>
    <row r="2" spans="1:10" s="322" customFormat="1" ht="30" customHeight="1" x14ac:dyDescent="0.25">
      <c r="A2" s="384" t="str">
        <f>CONCATENATE(MégaEnergie_Elec!A8," vs ",EDF!A8,"/GDF réglementés (ou fournisseurs alternatifs)")</f>
        <v>Méga Energie vs EDF/GDF réglementés (ou fournisseurs alternatifs)</v>
      </c>
      <c r="B2" s="384"/>
      <c r="C2" s="384"/>
      <c r="D2" s="384"/>
      <c r="E2" s="384"/>
      <c r="F2" s="384"/>
      <c r="G2" s="384"/>
      <c r="H2" s="384"/>
      <c r="I2" s="384"/>
      <c r="J2" s="384"/>
    </row>
    <row r="4" spans="1:10" ht="18.75" x14ac:dyDescent="0.3">
      <c r="A4" s="385" t="s">
        <v>82</v>
      </c>
      <c r="B4" s="385"/>
      <c r="C4" s="385"/>
      <c r="D4" s="385"/>
      <c r="E4" s="385"/>
      <c r="F4" s="385"/>
      <c r="G4" s="385"/>
      <c r="H4" s="385"/>
      <c r="I4" s="385"/>
      <c r="J4" s="385"/>
    </row>
    <row r="6" spans="1:10" s="322" customFormat="1" ht="19.5" thickBot="1" x14ac:dyDescent="0.35">
      <c r="A6" s="326" t="s">
        <v>191</v>
      </c>
      <c r="B6" s="327" t="s">
        <v>192</v>
      </c>
      <c r="C6" s="328"/>
      <c r="D6" s="328"/>
      <c r="E6" s="328"/>
      <c r="F6" s="328"/>
      <c r="G6" s="328"/>
      <c r="H6" s="328"/>
      <c r="I6" s="328"/>
      <c r="J6" s="328"/>
    </row>
    <row r="7" spans="1:10" x14ac:dyDescent="0.25">
      <c r="B7" s="103" t="s">
        <v>195</v>
      </c>
      <c r="C7" s="372" t="s">
        <v>83</v>
      </c>
      <c r="D7" s="372"/>
      <c r="E7" s="372"/>
      <c r="F7" s="372"/>
      <c r="G7" s="372"/>
      <c r="H7" s="372"/>
      <c r="I7" s="372"/>
      <c r="J7" s="372"/>
    </row>
    <row r="8" spans="1:10" ht="30" customHeight="1" x14ac:dyDescent="0.25">
      <c r="G8" s="104" t="s">
        <v>84</v>
      </c>
    </row>
    <row r="9" spans="1:10" ht="33.75" customHeight="1" x14ac:dyDescent="0.25">
      <c r="C9" s="386" t="s">
        <v>184</v>
      </c>
      <c r="D9" s="387"/>
      <c r="E9" s="387"/>
      <c r="F9" s="387"/>
      <c r="G9" s="387"/>
      <c r="H9" s="387"/>
      <c r="I9" s="387"/>
      <c r="J9" s="387"/>
    </row>
    <row r="10" spans="1:10" x14ac:dyDescent="0.25">
      <c r="C10" s="388" t="s">
        <v>190</v>
      </c>
      <c r="D10" s="389"/>
      <c r="E10" s="389"/>
      <c r="F10" s="389"/>
      <c r="G10" s="389"/>
      <c r="H10" s="389"/>
      <c r="I10" s="389"/>
      <c r="J10" s="389"/>
    </row>
    <row r="11" spans="1:10" ht="49.5" customHeight="1" x14ac:dyDescent="0.25">
      <c r="C11" s="390" t="s">
        <v>211</v>
      </c>
      <c r="D11" s="390"/>
      <c r="E11" s="390"/>
      <c r="F11" s="390"/>
      <c r="G11" s="390"/>
      <c r="H11" s="390"/>
      <c r="I11" s="390"/>
      <c r="J11" s="390"/>
    </row>
    <row r="12" spans="1:10" s="322" customFormat="1" ht="21" customHeight="1" x14ac:dyDescent="0.25">
      <c r="C12" s="391" t="s">
        <v>185</v>
      </c>
      <c r="D12" s="391"/>
      <c r="E12" s="391"/>
      <c r="F12" s="391"/>
      <c r="G12" s="391"/>
      <c r="H12" s="391"/>
      <c r="I12" s="391"/>
      <c r="J12" s="391"/>
    </row>
    <row r="13" spans="1:10" x14ac:dyDescent="0.25">
      <c r="B13" s="103" t="s">
        <v>196</v>
      </c>
      <c r="C13" s="372" t="s">
        <v>86</v>
      </c>
      <c r="D13" s="372"/>
      <c r="E13" s="372"/>
      <c r="F13" s="372"/>
      <c r="G13" s="372"/>
      <c r="H13" s="372"/>
      <c r="I13" s="372"/>
      <c r="J13" s="372"/>
    </row>
    <row r="14" spans="1:10" ht="105.75" customHeight="1" x14ac:dyDescent="0.25">
      <c r="E14" s="373" t="s">
        <v>170</v>
      </c>
      <c r="F14" s="373"/>
      <c r="G14" s="373"/>
      <c r="H14" s="373"/>
      <c r="I14" s="373"/>
      <c r="J14" s="373"/>
    </row>
    <row r="15" spans="1:10" x14ac:dyDescent="0.25">
      <c r="B15" s="103" t="s">
        <v>197</v>
      </c>
      <c r="C15" s="372" t="s">
        <v>87</v>
      </c>
      <c r="D15" s="372"/>
      <c r="E15" s="372"/>
      <c r="F15" s="372"/>
      <c r="G15" s="372"/>
      <c r="H15" s="372"/>
      <c r="I15" s="372"/>
      <c r="J15" s="372"/>
    </row>
    <row r="16" spans="1:10" ht="103.5" customHeight="1" x14ac:dyDescent="0.25">
      <c r="E16" s="373" t="s">
        <v>243</v>
      </c>
      <c r="F16" s="373"/>
      <c r="G16" s="373"/>
      <c r="H16" s="373"/>
      <c r="I16" s="373"/>
      <c r="J16" s="373"/>
    </row>
    <row r="17" spans="2:10" x14ac:dyDescent="0.25">
      <c r="B17" s="103" t="s">
        <v>198</v>
      </c>
      <c r="C17" s="372" t="s">
        <v>87</v>
      </c>
      <c r="D17" s="372"/>
      <c r="E17" s="372"/>
      <c r="F17" s="372"/>
      <c r="G17" s="372"/>
      <c r="H17" s="372"/>
      <c r="I17" s="372"/>
      <c r="J17" s="372"/>
    </row>
    <row r="18" spans="2:10" ht="106.5" customHeight="1" x14ac:dyDescent="0.25">
      <c r="E18" s="383" t="s">
        <v>244</v>
      </c>
      <c r="F18" s="383"/>
      <c r="G18" s="383"/>
      <c r="H18" s="383"/>
      <c r="I18" s="383"/>
      <c r="J18" s="383"/>
    </row>
    <row r="19" spans="2:10" ht="106.5" customHeight="1" x14ac:dyDescent="0.25">
      <c r="D19" s="269"/>
      <c r="E19" s="375" t="s">
        <v>186</v>
      </c>
      <c r="F19" s="375"/>
      <c r="G19" s="375"/>
      <c r="H19" s="375"/>
      <c r="I19" s="375"/>
      <c r="J19" s="375"/>
    </row>
    <row r="20" spans="2:10" x14ac:dyDescent="0.25">
      <c r="B20" s="103" t="s">
        <v>199</v>
      </c>
      <c r="C20" s="372" t="s">
        <v>88</v>
      </c>
      <c r="D20" s="372"/>
      <c r="E20" s="372"/>
      <c r="F20" s="372"/>
      <c r="G20" s="372"/>
      <c r="H20" s="372"/>
      <c r="I20" s="372"/>
      <c r="J20" s="372"/>
    </row>
    <row r="21" spans="2:10" ht="33" customHeight="1" x14ac:dyDescent="0.25">
      <c r="F21" s="376" t="s">
        <v>212</v>
      </c>
      <c r="G21" s="376"/>
      <c r="H21" s="376"/>
      <c r="I21" s="376"/>
      <c r="J21" s="376"/>
    </row>
    <row r="22" spans="2:10" s="336" customFormat="1" ht="120.75" customHeight="1" x14ac:dyDescent="0.25">
      <c r="F22" s="380" t="s">
        <v>214</v>
      </c>
      <c r="G22" s="381"/>
      <c r="H22" s="381"/>
      <c r="I22" s="381"/>
      <c r="J22" s="381"/>
    </row>
    <row r="23" spans="2:10" s="336" customFormat="1" ht="20.25" customHeight="1" x14ac:dyDescent="0.25">
      <c r="F23" s="382" t="s">
        <v>213</v>
      </c>
      <c r="G23" s="382"/>
      <c r="H23" s="382"/>
      <c r="I23" s="382"/>
      <c r="J23" s="382"/>
    </row>
    <row r="24" spans="2:10" x14ac:dyDescent="0.25">
      <c r="B24" s="103" t="s">
        <v>200</v>
      </c>
      <c r="C24" s="372" t="s">
        <v>89</v>
      </c>
      <c r="D24" s="372"/>
      <c r="E24" s="372"/>
      <c r="F24" s="372"/>
      <c r="G24" s="372"/>
      <c r="H24" s="372"/>
      <c r="I24" s="372"/>
      <c r="J24" s="372"/>
    </row>
    <row r="25" spans="2:10" ht="123" customHeight="1" x14ac:dyDescent="0.25">
      <c r="E25" s="374" t="s">
        <v>187</v>
      </c>
      <c r="F25" s="374"/>
      <c r="G25" s="374"/>
      <c r="H25" s="374"/>
      <c r="I25" s="374"/>
      <c r="J25" s="374"/>
    </row>
    <row r="26" spans="2:10" x14ac:dyDescent="0.25">
      <c r="B26" s="103" t="s">
        <v>201</v>
      </c>
      <c r="C26" s="372" t="s">
        <v>90</v>
      </c>
      <c r="D26" s="372"/>
      <c r="E26" s="372"/>
      <c r="F26" s="372"/>
      <c r="G26" s="372"/>
      <c r="H26" s="372"/>
      <c r="I26" s="372"/>
      <c r="J26" s="372"/>
    </row>
    <row r="27" spans="2:10" ht="123.75" customHeight="1" x14ac:dyDescent="0.25">
      <c r="E27" s="321"/>
      <c r="F27" s="379" t="s">
        <v>188</v>
      </c>
      <c r="G27" s="379"/>
      <c r="H27" s="379"/>
      <c r="I27" s="379"/>
      <c r="J27" s="379"/>
    </row>
    <row r="28" spans="2:10" x14ac:dyDescent="0.25">
      <c r="B28" s="103" t="s">
        <v>202</v>
      </c>
      <c r="C28" s="372" t="s">
        <v>91</v>
      </c>
      <c r="D28" s="372"/>
      <c r="E28" s="372"/>
      <c r="F28" s="372"/>
      <c r="G28" s="372"/>
      <c r="H28" s="372"/>
      <c r="I28" s="372"/>
      <c r="J28" s="372"/>
    </row>
    <row r="29" spans="2:10" ht="7.5" customHeight="1" x14ac:dyDescent="0.25"/>
    <row r="30" spans="2:10" x14ac:dyDescent="0.25">
      <c r="D30" s="272" t="s">
        <v>171</v>
      </c>
      <c r="I30" s="268" t="s">
        <v>172</v>
      </c>
    </row>
    <row r="34" spans="2:10" x14ac:dyDescent="0.25">
      <c r="G34" s="268" t="s">
        <v>173</v>
      </c>
    </row>
    <row r="39" spans="2:10" ht="78" customHeight="1" x14ac:dyDescent="0.25">
      <c r="C39" s="377" t="s">
        <v>189</v>
      </c>
      <c r="D39" s="377"/>
      <c r="E39" s="377"/>
      <c r="F39" s="377"/>
      <c r="G39" s="377"/>
      <c r="H39" s="377"/>
      <c r="I39" s="377"/>
      <c r="J39" s="377"/>
    </row>
    <row r="40" spans="2:10" x14ac:dyDescent="0.25">
      <c r="B40" s="103" t="s">
        <v>203</v>
      </c>
      <c r="C40" s="372" t="s">
        <v>215</v>
      </c>
      <c r="D40" s="372"/>
      <c r="E40" s="372"/>
      <c r="F40" s="372"/>
      <c r="G40" s="372"/>
      <c r="H40" s="372"/>
      <c r="I40" s="372"/>
      <c r="J40" s="372"/>
    </row>
    <row r="41" spans="2:10" ht="7.5" customHeight="1" x14ac:dyDescent="0.25"/>
    <row r="42" spans="2:10" x14ac:dyDescent="0.25">
      <c r="E42" s="378" t="s">
        <v>216</v>
      </c>
      <c r="F42" s="371"/>
      <c r="G42" s="371"/>
      <c r="H42" s="371"/>
      <c r="I42" s="371"/>
      <c r="J42" s="371"/>
    </row>
    <row r="43" spans="2:10" x14ac:dyDescent="0.25">
      <c r="E43" s="371"/>
      <c r="F43" s="371"/>
      <c r="G43" s="371"/>
      <c r="H43" s="371"/>
      <c r="I43" s="371"/>
      <c r="J43" s="371"/>
    </row>
    <row r="44" spans="2:10" x14ac:dyDescent="0.25">
      <c r="E44" s="371"/>
      <c r="F44" s="371"/>
      <c r="G44" s="371"/>
      <c r="H44" s="371"/>
      <c r="I44" s="371"/>
      <c r="J44" s="371"/>
    </row>
    <row r="45" spans="2:10" ht="59.25" customHeight="1" x14ac:dyDescent="0.25">
      <c r="E45" s="371"/>
      <c r="F45" s="371"/>
      <c r="G45" s="371"/>
      <c r="H45" s="371"/>
      <c r="I45" s="371"/>
      <c r="J45" s="371"/>
    </row>
    <row r="47" spans="2:10" x14ac:dyDescent="0.25">
      <c r="B47" s="103" t="s">
        <v>204</v>
      </c>
      <c r="C47" s="372" t="s">
        <v>174</v>
      </c>
      <c r="D47" s="372"/>
      <c r="E47" s="372"/>
      <c r="F47" s="372"/>
      <c r="G47" s="372"/>
      <c r="H47" s="372"/>
      <c r="I47" s="372"/>
      <c r="J47" s="372"/>
    </row>
    <row r="48" spans="2:10" ht="7.5" customHeight="1" x14ac:dyDescent="0.25"/>
    <row r="49" spans="1:10" x14ac:dyDescent="0.25">
      <c r="E49" s="371" t="str">
        <f>"Affichage des coûts annuels TTC "&amp; EDF!A8 &amp; " , ou fournisseur alternatif, et " &amp; MégaEnergie_Elec!A8</f>
        <v>Affichage des coûts annuels TTC EDF , ou fournisseur alternatif, et Méga Energie</v>
      </c>
      <c r="F49" s="371"/>
      <c r="G49" s="371"/>
      <c r="H49" s="371"/>
      <c r="I49" s="371"/>
      <c r="J49" s="371"/>
    </row>
    <row r="50" spans="1:10" x14ac:dyDescent="0.25">
      <c r="E50" s="371"/>
      <c r="F50" s="371"/>
      <c r="G50" s="371"/>
      <c r="H50" s="371"/>
      <c r="I50" s="371"/>
      <c r="J50" s="371"/>
    </row>
    <row r="51" spans="1:10" x14ac:dyDescent="0.25">
      <c r="E51" s="371"/>
      <c r="F51" s="371"/>
      <c r="G51" s="371"/>
      <c r="H51" s="371"/>
      <c r="I51" s="371"/>
      <c r="J51" s="371"/>
    </row>
    <row r="52" spans="1:10" ht="73.5" customHeight="1" x14ac:dyDescent="0.25">
      <c r="E52" s="371"/>
      <c r="F52" s="371"/>
      <c r="G52" s="371"/>
      <c r="H52" s="371"/>
      <c r="I52" s="371"/>
      <c r="J52" s="371"/>
    </row>
    <row r="53" spans="1:10" x14ac:dyDescent="0.25">
      <c r="B53" s="103" t="s">
        <v>205</v>
      </c>
      <c r="C53" s="372" t="s">
        <v>218</v>
      </c>
      <c r="D53" s="372"/>
      <c r="E53" s="372"/>
      <c r="F53" s="372"/>
      <c r="G53" s="372"/>
      <c r="H53" s="372"/>
      <c r="I53" s="372"/>
      <c r="J53" s="372"/>
    </row>
    <row r="54" spans="1:10" ht="129.94999999999999" customHeight="1" x14ac:dyDescent="0.25">
      <c r="E54" s="373" t="s">
        <v>217</v>
      </c>
      <c r="F54" s="373"/>
      <c r="G54" s="373"/>
      <c r="H54" s="373"/>
      <c r="I54" s="373"/>
      <c r="J54" s="373"/>
    </row>
    <row r="55" spans="1:10" ht="13.5" customHeight="1" x14ac:dyDescent="0.25">
      <c r="B55" s="103" t="s">
        <v>206</v>
      </c>
      <c r="C55" s="372" t="s">
        <v>219</v>
      </c>
      <c r="D55" s="372"/>
      <c r="E55" s="372"/>
      <c r="F55" s="372"/>
      <c r="G55" s="372"/>
      <c r="H55" s="372"/>
      <c r="I55" s="372"/>
      <c r="J55" s="372"/>
    </row>
    <row r="56" spans="1:10" ht="129.94999999999999" customHeight="1" x14ac:dyDescent="0.25">
      <c r="E56" s="374" t="s">
        <v>175</v>
      </c>
      <c r="F56" s="374"/>
      <c r="G56" s="374"/>
      <c r="H56" s="374"/>
      <c r="I56" s="374"/>
      <c r="J56" s="374"/>
    </row>
    <row r="57" spans="1:10" ht="19.5" thickBot="1" x14ac:dyDescent="0.35">
      <c r="A57" s="330" t="s">
        <v>85</v>
      </c>
      <c r="B57" s="331" t="s">
        <v>193</v>
      </c>
      <c r="C57" s="329"/>
      <c r="D57" s="329"/>
      <c r="E57" s="329"/>
      <c r="F57" s="329"/>
      <c r="G57" s="329"/>
      <c r="H57" s="329"/>
      <c r="I57" s="329"/>
      <c r="J57" s="329"/>
    </row>
    <row r="58" spans="1:10" ht="6" customHeight="1" x14ac:dyDescent="0.25"/>
    <row r="59" spans="1:10" ht="39" customHeight="1" x14ac:dyDescent="0.25">
      <c r="B59" s="370" t="s">
        <v>194</v>
      </c>
      <c r="C59" s="370"/>
      <c r="D59" s="370"/>
      <c r="E59" s="370"/>
      <c r="F59" s="370"/>
      <c r="G59" s="370"/>
      <c r="H59" s="370"/>
      <c r="I59" s="370"/>
      <c r="J59" s="370"/>
    </row>
    <row r="60" spans="1:10" x14ac:dyDescent="0.25">
      <c r="B60" s="334" t="s">
        <v>206</v>
      </c>
      <c r="C60" s="392" t="s">
        <v>88</v>
      </c>
      <c r="D60" s="392"/>
      <c r="E60" s="392"/>
      <c r="F60" s="392"/>
      <c r="G60" s="392"/>
      <c r="H60" s="392"/>
      <c r="I60" s="392"/>
      <c r="J60" s="392"/>
    </row>
    <row r="61" spans="1:10" ht="6" customHeight="1" x14ac:dyDescent="0.25">
      <c r="B61" s="332"/>
      <c r="C61" s="332"/>
      <c r="D61" s="332"/>
      <c r="E61" s="332"/>
      <c r="F61" s="332"/>
      <c r="G61" s="332"/>
      <c r="H61" s="332"/>
      <c r="I61" s="332"/>
      <c r="J61" s="332"/>
    </row>
    <row r="62" spans="1:10" x14ac:dyDescent="0.25">
      <c r="B62" s="332"/>
      <c r="C62" s="325"/>
      <c r="D62" s="325"/>
      <c r="E62" s="395" t="s">
        <v>220</v>
      </c>
      <c r="F62" s="395"/>
      <c r="G62" s="395"/>
      <c r="H62" s="395"/>
      <c r="I62" s="395"/>
      <c r="J62" s="395"/>
    </row>
    <row r="63" spans="1:10" x14ac:dyDescent="0.25">
      <c r="B63" s="332"/>
      <c r="C63" s="332"/>
      <c r="D63" s="332"/>
      <c r="E63" s="395"/>
      <c r="F63" s="395"/>
      <c r="G63" s="395"/>
      <c r="H63" s="395"/>
      <c r="I63" s="395"/>
      <c r="J63" s="395"/>
    </row>
    <row r="64" spans="1:10" x14ac:dyDescent="0.25">
      <c r="B64" s="332"/>
      <c r="C64" s="332"/>
      <c r="D64" s="332"/>
      <c r="E64" s="395"/>
      <c r="F64" s="395"/>
      <c r="G64" s="395"/>
      <c r="H64" s="395"/>
      <c r="I64" s="395"/>
      <c r="J64" s="395"/>
    </row>
    <row r="65" spans="2:10" x14ac:dyDescent="0.25">
      <c r="B65" s="332"/>
      <c r="C65" s="332"/>
      <c r="D65" s="332"/>
      <c r="E65" s="395"/>
      <c r="F65" s="395"/>
      <c r="G65" s="395"/>
      <c r="H65" s="395"/>
      <c r="I65" s="395"/>
      <c r="J65" s="395"/>
    </row>
    <row r="66" spans="2:10" x14ac:dyDescent="0.25">
      <c r="B66" s="332"/>
      <c r="C66" s="332"/>
      <c r="D66" s="332"/>
      <c r="E66" s="395"/>
      <c r="F66" s="395"/>
      <c r="G66" s="395"/>
      <c r="H66" s="395"/>
      <c r="I66" s="395"/>
      <c r="J66" s="395"/>
    </row>
    <row r="67" spans="2:10" x14ac:dyDescent="0.25">
      <c r="B67" s="332"/>
      <c r="C67" s="332"/>
      <c r="D67" s="332"/>
      <c r="E67" s="395"/>
      <c r="F67" s="395"/>
      <c r="G67" s="395"/>
      <c r="H67" s="395"/>
      <c r="I67" s="395"/>
      <c r="J67" s="395"/>
    </row>
    <row r="68" spans="2:10" ht="31.5" customHeight="1" x14ac:dyDescent="0.25">
      <c r="B68" s="332"/>
      <c r="C68" s="332"/>
      <c r="D68" s="332"/>
      <c r="E68" s="395"/>
      <c r="F68" s="395"/>
      <c r="G68" s="395"/>
      <c r="H68" s="395"/>
      <c r="I68" s="395"/>
      <c r="J68" s="395"/>
    </row>
    <row r="69" spans="2:10" ht="8.25" customHeight="1" x14ac:dyDescent="0.25">
      <c r="B69" s="333"/>
      <c r="C69" s="333"/>
      <c r="D69" s="333"/>
      <c r="E69" s="333"/>
      <c r="F69" s="333"/>
      <c r="G69" s="333"/>
      <c r="H69" s="333"/>
      <c r="I69" s="333"/>
      <c r="J69" s="333"/>
    </row>
    <row r="70" spans="2:10" s="324" customFormat="1" x14ac:dyDescent="0.25">
      <c r="B70" s="334" t="s">
        <v>206</v>
      </c>
      <c r="C70" s="392" t="s">
        <v>207</v>
      </c>
      <c r="D70" s="392"/>
      <c r="E70" s="392"/>
      <c r="F70" s="392"/>
      <c r="G70" s="392"/>
      <c r="H70" s="392"/>
      <c r="I70" s="392"/>
      <c r="J70" s="392"/>
    </row>
    <row r="71" spans="2:10" s="324" customFormat="1" ht="6" customHeight="1" x14ac:dyDescent="0.25">
      <c r="B71" s="332"/>
      <c r="C71" s="332"/>
      <c r="D71" s="332"/>
      <c r="E71" s="332"/>
      <c r="F71" s="332"/>
      <c r="G71" s="332"/>
      <c r="H71" s="332"/>
      <c r="I71" s="332"/>
      <c r="J71" s="332"/>
    </row>
    <row r="72" spans="2:10" x14ac:dyDescent="0.25">
      <c r="E72" s="378" t="s">
        <v>208</v>
      </c>
      <c r="F72" s="378"/>
      <c r="G72" s="378"/>
      <c r="H72" s="378"/>
      <c r="I72" s="378"/>
      <c r="J72" s="378"/>
    </row>
    <row r="73" spans="2:10" x14ac:dyDescent="0.25">
      <c r="E73" s="378"/>
      <c r="F73" s="378"/>
      <c r="G73" s="378"/>
      <c r="H73" s="378"/>
      <c r="I73" s="378"/>
      <c r="J73" s="378"/>
    </row>
    <row r="74" spans="2:10" x14ac:dyDescent="0.25">
      <c r="E74" s="378"/>
      <c r="F74" s="378"/>
      <c r="G74" s="378"/>
      <c r="H74" s="378"/>
      <c r="I74" s="378"/>
      <c r="J74" s="378"/>
    </row>
    <row r="75" spans="2:10" x14ac:dyDescent="0.25">
      <c r="E75" s="378"/>
      <c r="F75" s="378"/>
      <c r="G75" s="378"/>
      <c r="H75" s="378"/>
      <c r="I75" s="378"/>
      <c r="J75" s="378"/>
    </row>
    <row r="76" spans="2:10" x14ac:dyDescent="0.25">
      <c r="E76" s="378"/>
      <c r="F76" s="378"/>
      <c r="G76" s="378"/>
      <c r="H76" s="378"/>
      <c r="I76" s="378"/>
      <c r="J76" s="378"/>
    </row>
    <row r="77" spans="2:10" x14ac:dyDescent="0.25">
      <c r="E77" s="378"/>
      <c r="F77" s="378"/>
      <c r="G77" s="378"/>
      <c r="H77" s="378"/>
      <c r="I77" s="378"/>
      <c r="J77" s="378"/>
    </row>
    <row r="78" spans="2:10" x14ac:dyDescent="0.25">
      <c r="E78" s="378"/>
      <c r="F78" s="378"/>
      <c r="G78" s="378"/>
      <c r="H78" s="378"/>
      <c r="I78" s="378"/>
      <c r="J78" s="378"/>
    </row>
    <row r="80" spans="2:10" s="324" customFormat="1" x14ac:dyDescent="0.25">
      <c r="B80" s="334" t="s">
        <v>206</v>
      </c>
      <c r="C80" s="392" t="s">
        <v>221</v>
      </c>
      <c r="D80" s="392"/>
      <c r="E80" s="392"/>
      <c r="F80" s="392"/>
      <c r="G80" s="392"/>
      <c r="H80" s="392"/>
      <c r="I80" s="392"/>
      <c r="J80" s="392"/>
    </row>
    <row r="81" spans="2:10" s="324" customFormat="1" ht="6" customHeight="1" x14ac:dyDescent="0.25">
      <c r="B81" s="332"/>
      <c r="C81" s="332"/>
      <c r="D81" s="332"/>
      <c r="E81" s="332"/>
      <c r="F81" s="332"/>
      <c r="G81" s="332"/>
      <c r="H81" s="332"/>
      <c r="I81" s="332"/>
      <c r="J81" s="332"/>
    </row>
    <row r="82" spans="2:10" s="324" customFormat="1" x14ac:dyDescent="0.25">
      <c r="E82" s="378" t="s">
        <v>222</v>
      </c>
      <c r="F82" s="378"/>
      <c r="G82" s="378"/>
      <c r="H82" s="378"/>
      <c r="I82" s="378"/>
      <c r="J82" s="378"/>
    </row>
    <row r="83" spans="2:10" s="324" customFormat="1" x14ac:dyDescent="0.25">
      <c r="E83" s="378"/>
      <c r="F83" s="378"/>
      <c r="G83" s="378"/>
      <c r="H83" s="378"/>
      <c r="I83" s="378"/>
      <c r="J83" s="378"/>
    </row>
    <row r="84" spans="2:10" s="324" customFormat="1" x14ac:dyDescent="0.25">
      <c r="E84" s="378"/>
      <c r="F84" s="378"/>
      <c r="G84" s="378"/>
      <c r="H84" s="378"/>
      <c r="I84" s="378"/>
      <c r="J84" s="378"/>
    </row>
    <row r="85" spans="2:10" s="324" customFormat="1" x14ac:dyDescent="0.25">
      <c r="E85" s="378"/>
      <c r="F85" s="378"/>
      <c r="G85" s="378"/>
      <c r="H85" s="378"/>
      <c r="I85" s="378"/>
      <c r="J85" s="378"/>
    </row>
    <row r="86" spans="2:10" s="324" customFormat="1" x14ac:dyDescent="0.25">
      <c r="E86" s="378"/>
      <c r="F86" s="378"/>
      <c r="G86" s="378"/>
      <c r="H86" s="378"/>
      <c r="I86" s="378"/>
      <c r="J86" s="378"/>
    </row>
    <row r="87" spans="2:10" s="324" customFormat="1" x14ac:dyDescent="0.25">
      <c r="E87" s="378"/>
      <c r="F87" s="378"/>
      <c r="G87" s="378"/>
      <c r="H87" s="378"/>
      <c r="I87" s="378"/>
      <c r="J87" s="378"/>
    </row>
    <row r="88" spans="2:10" s="324" customFormat="1" x14ac:dyDescent="0.25">
      <c r="E88" s="378"/>
      <c r="F88" s="378"/>
      <c r="G88" s="378"/>
      <c r="H88" s="378"/>
      <c r="I88" s="378"/>
      <c r="J88" s="378"/>
    </row>
    <row r="89" spans="2:10" s="324" customFormat="1" x14ac:dyDescent="0.25"/>
    <row r="90" spans="2:10" x14ac:dyDescent="0.25">
      <c r="B90" s="393" t="s">
        <v>210</v>
      </c>
      <c r="C90" s="393"/>
      <c r="D90" s="393"/>
      <c r="E90" s="393"/>
      <c r="F90" s="393"/>
      <c r="G90" s="393"/>
      <c r="H90" s="393"/>
      <c r="I90" s="393"/>
      <c r="J90" s="393"/>
    </row>
    <row r="91" spans="2:10" ht="30" customHeight="1" x14ac:dyDescent="0.25">
      <c r="B91" s="394" t="s">
        <v>223</v>
      </c>
      <c r="C91" s="394"/>
      <c r="D91" s="394"/>
      <c r="E91" s="394"/>
      <c r="F91" s="394"/>
      <c r="G91" s="394"/>
      <c r="H91" s="394"/>
      <c r="I91" s="394"/>
      <c r="J91" s="394"/>
    </row>
    <row r="93" spans="2:10" x14ac:dyDescent="0.25">
      <c r="B93" s="322" t="s">
        <v>209</v>
      </c>
    </row>
    <row r="94" spans="2:10" x14ac:dyDescent="0.25">
      <c r="C94" s="335" t="s">
        <v>245</v>
      </c>
    </row>
  </sheetData>
  <sheetProtection algorithmName="SHA-512" hashValue="d5uKA0+j7Exv/8scKv0obVLF7ZjX9V6VqlLliQATDDK95iqnutQFPPyRgbFDx009ajpskxKEWVWhmA52t/Vxng==" saltValue="8jakgz+aLoBYn0b3Bsxdng==" spinCount="100000" sheet="1" objects="1" scenarios="1" selectLockedCells="1"/>
  <mergeCells count="42">
    <mergeCell ref="C80:J80"/>
    <mergeCell ref="E82:J88"/>
    <mergeCell ref="B90:J90"/>
    <mergeCell ref="B91:J91"/>
    <mergeCell ref="C60:J60"/>
    <mergeCell ref="E62:J68"/>
    <mergeCell ref="C70:J70"/>
    <mergeCell ref="E72:J78"/>
    <mergeCell ref="E18:J18"/>
    <mergeCell ref="A1:J1"/>
    <mergeCell ref="A4:J4"/>
    <mergeCell ref="C7:J7"/>
    <mergeCell ref="C9:J9"/>
    <mergeCell ref="C10:J10"/>
    <mergeCell ref="C11:J11"/>
    <mergeCell ref="C13:J13"/>
    <mergeCell ref="E14:J14"/>
    <mergeCell ref="C15:J15"/>
    <mergeCell ref="E16:J16"/>
    <mergeCell ref="C17:J17"/>
    <mergeCell ref="A2:J2"/>
    <mergeCell ref="C12:J12"/>
    <mergeCell ref="C47:J47"/>
    <mergeCell ref="E19:J19"/>
    <mergeCell ref="C20:J20"/>
    <mergeCell ref="F21:J21"/>
    <mergeCell ref="C24:J24"/>
    <mergeCell ref="E25:J25"/>
    <mergeCell ref="C26:J26"/>
    <mergeCell ref="C28:J28"/>
    <mergeCell ref="C39:J39"/>
    <mergeCell ref="C40:J40"/>
    <mergeCell ref="E42:J45"/>
    <mergeCell ref="F27:J27"/>
    <mergeCell ref="F22:J22"/>
    <mergeCell ref="F23:J23"/>
    <mergeCell ref="B59:J59"/>
    <mergeCell ref="E49:J52"/>
    <mergeCell ref="C53:J53"/>
    <mergeCell ref="E54:J54"/>
    <mergeCell ref="C55:J55"/>
    <mergeCell ref="E56:J56"/>
  </mergeCells>
  <hyperlinks>
    <hyperlink ref="C94" r:id="rId1" xr:uid="{A8A73E73-21F8-4828-83E3-EB73284E2102}"/>
  </hyperlinks>
  <pageMargins left="0.39370078740157483" right="0.39370078740157483" top="0.59055118110236227" bottom="0.59055118110236227"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D9656-D670-4117-9536-FAD5FC8607B4}">
  <sheetPr codeName="Feuil8"/>
  <dimension ref="A1:T37"/>
  <sheetViews>
    <sheetView showGridLines="0" zoomScale="99" workbookViewId="0">
      <selection activeCell="K26" sqref="K26"/>
    </sheetView>
  </sheetViews>
  <sheetFormatPr baseColWidth="10" defaultRowHeight="15" x14ac:dyDescent="0.25"/>
  <cols>
    <col min="1" max="1" width="14" style="11" customWidth="1"/>
    <col min="2" max="2" width="11.42578125" style="11"/>
    <col min="3" max="4" width="14.42578125" style="11" customWidth="1"/>
    <col min="5" max="6" width="9.7109375" style="11" customWidth="1"/>
    <col min="7" max="8" width="12.7109375" style="11" customWidth="1"/>
    <col min="9" max="12" width="11.42578125" style="11"/>
    <col min="13" max="14" width="15.7109375" style="11" customWidth="1"/>
    <col min="15" max="16" width="13.28515625" style="11" customWidth="1"/>
    <col min="17" max="17" width="7.42578125" style="11" customWidth="1"/>
    <col min="18" max="18" width="11.42578125" style="11"/>
    <col min="19" max="20" width="18.7109375" style="11" customWidth="1"/>
    <col min="21" max="16384" width="11.42578125" style="11"/>
  </cols>
  <sheetData>
    <row r="1" spans="1:20" ht="18.75" x14ac:dyDescent="0.25">
      <c r="A1" s="10"/>
      <c r="B1" s="10"/>
      <c r="C1" s="10"/>
      <c r="D1" s="10"/>
      <c r="E1" s="10"/>
      <c r="F1" s="10"/>
      <c r="G1" s="10"/>
      <c r="H1" s="10"/>
      <c r="I1" s="10"/>
      <c r="J1" s="603" t="s">
        <v>19</v>
      </c>
      <c r="K1" s="604"/>
      <c r="L1" s="604"/>
      <c r="M1" s="605"/>
      <c r="N1" s="10"/>
      <c r="O1" s="10"/>
      <c r="P1" s="10"/>
      <c r="Q1" s="10"/>
      <c r="R1" s="10"/>
      <c r="S1" s="10"/>
      <c r="T1" s="10"/>
    </row>
    <row r="2" spans="1:20" ht="15.75" thickBot="1" x14ac:dyDescent="0.3">
      <c r="A2" s="10"/>
      <c r="B2" s="10"/>
      <c r="C2" s="10"/>
      <c r="D2" s="10"/>
      <c r="E2" s="10"/>
      <c r="F2" s="10"/>
      <c r="G2" s="10"/>
      <c r="H2" s="10"/>
      <c r="I2" s="10"/>
      <c r="J2" s="400" t="s">
        <v>20</v>
      </c>
      <c r="K2" s="606"/>
      <c r="L2" s="606" t="s">
        <v>21</v>
      </c>
      <c r="M2" s="607"/>
      <c r="N2" s="10"/>
      <c r="O2" s="10"/>
      <c r="P2" s="10"/>
      <c r="Q2" s="10"/>
      <c r="R2" s="10"/>
      <c r="S2" s="10"/>
      <c r="T2" s="10"/>
    </row>
    <row r="3" spans="1:20" ht="15.75" thickBot="1" x14ac:dyDescent="0.3">
      <c r="A3" s="10"/>
      <c r="B3" s="10"/>
      <c r="C3" s="10"/>
      <c r="D3" s="10"/>
      <c r="E3" s="10"/>
      <c r="F3" s="10"/>
      <c r="G3" s="10"/>
      <c r="H3" s="10"/>
      <c r="I3" s="10"/>
      <c r="J3" s="608">
        <v>5.5E-2</v>
      </c>
      <c r="K3" s="609"/>
      <c r="L3" s="610">
        <v>0.2</v>
      </c>
      <c r="M3" s="611"/>
      <c r="N3" s="10"/>
      <c r="O3" s="10"/>
      <c r="P3" s="10"/>
      <c r="Q3" s="10"/>
      <c r="R3" s="10"/>
      <c r="S3" s="10"/>
      <c r="T3" s="10"/>
    </row>
    <row r="4" spans="1:20" ht="15.75" thickBot="1" x14ac:dyDescent="0.3">
      <c r="A4" s="10"/>
      <c r="B4" s="602" t="s">
        <v>14</v>
      </c>
      <c r="C4" s="602"/>
      <c r="D4" s="602"/>
      <c r="E4" s="602"/>
      <c r="F4" s="602"/>
      <c r="G4" s="602"/>
      <c r="H4" s="602"/>
      <c r="I4" s="602"/>
      <c r="J4" s="602"/>
      <c r="K4" s="602"/>
      <c r="L4" s="602"/>
      <c r="M4" s="602"/>
      <c r="N4" s="602"/>
      <c r="O4" s="602"/>
      <c r="P4" s="12"/>
      <c r="Q4" s="10"/>
      <c r="R4" s="10"/>
      <c r="S4" s="10"/>
      <c r="T4" s="10"/>
    </row>
    <row r="5" spans="1:20" ht="15.75" thickBot="1" x14ac:dyDescent="0.3">
      <c r="A5" s="10"/>
      <c r="B5" s="10"/>
      <c r="C5" s="10"/>
      <c r="D5" s="10"/>
      <c r="E5" s="10"/>
      <c r="F5" s="10"/>
      <c r="G5" s="10"/>
      <c r="H5" s="10"/>
      <c r="I5" s="10"/>
      <c r="J5" s="10"/>
      <c r="K5" s="10"/>
      <c r="L5" s="10"/>
      <c r="M5" s="10"/>
      <c r="N5" s="10"/>
      <c r="O5" s="10"/>
      <c r="P5" s="10"/>
      <c r="Q5" s="10"/>
      <c r="R5" s="600" t="s">
        <v>22</v>
      </c>
      <c r="S5" s="598"/>
      <c r="T5" s="601"/>
    </row>
    <row r="6" spans="1:20" ht="45" customHeight="1" x14ac:dyDescent="0.25">
      <c r="A6" s="10"/>
      <c r="B6" s="588" t="s">
        <v>0</v>
      </c>
      <c r="C6" s="573" t="s">
        <v>25</v>
      </c>
      <c r="D6" s="576" t="s">
        <v>10</v>
      </c>
      <c r="E6" s="591" t="s">
        <v>1</v>
      </c>
      <c r="F6" s="591"/>
      <c r="G6" s="573" t="s">
        <v>7</v>
      </c>
      <c r="H6" s="573"/>
      <c r="I6" s="576" t="s">
        <v>8</v>
      </c>
      <c r="J6" s="576"/>
      <c r="K6" s="573" t="s">
        <v>4</v>
      </c>
      <c r="L6" s="573"/>
      <c r="M6" s="574" t="s">
        <v>5</v>
      </c>
      <c r="N6" s="576" t="s">
        <v>11</v>
      </c>
      <c r="O6" s="578" t="s">
        <v>17</v>
      </c>
      <c r="P6" s="578" t="s">
        <v>18</v>
      </c>
      <c r="Q6" s="13"/>
      <c r="R6" s="14" t="s">
        <v>9</v>
      </c>
      <c r="S6" s="9">
        <f>IF(AND(S7&lt;&gt;0,S8&lt;&gt;0),"Ne saisir qu'un tarif TTC",IF(S7&lt;&gt;0,S7/(1+$J$3),IF(S8&lt;&gt;0,S8/(1+$L$3),"")))</f>
        <v>0.10250000000000001</v>
      </c>
      <c r="T6" s="6">
        <v>0.10249999999999999</v>
      </c>
    </row>
    <row r="7" spans="1:20" ht="30.75" thickBot="1" x14ac:dyDescent="0.3">
      <c r="A7" s="10"/>
      <c r="B7" s="589"/>
      <c r="C7" s="590"/>
      <c r="D7" s="577"/>
      <c r="E7" s="15" t="s">
        <v>2</v>
      </c>
      <c r="F7" s="15" t="s">
        <v>3</v>
      </c>
      <c r="G7" s="16" t="s">
        <v>2</v>
      </c>
      <c r="H7" s="16" t="s">
        <v>3</v>
      </c>
      <c r="I7" s="17" t="s">
        <v>2</v>
      </c>
      <c r="J7" s="17" t="s">
        <v>3</v>
      </c>
      <c r="K7" s="16" t="s">
        <v>2</v>
      </c>
      <c r="L7" s="16" t="s">
        <v>3</v>
      </c>
      <c r="M7" s="575"/>
      <c r="N7" s="577"/>
      <c r="O7" s="579"/>
      <c r="P7" s="579"/>
      <c r="Q7" s="13"/>
      <c r="R7" s="18" t="s">
        <v>23</v>
      </c>
      <c r="S7" s="7"/>
      <c r="T7" s="8">
        <f>T6*(1+$J$3)</f>
        <v>0.10813749999999998</v>
      </c>
    </row>
    <row r="8" spans="1:20" x14ac:dyDescent="0.25">
      <c r="A8" s="19" t="s">
        <v>6</v>
      </c>
      <c r="B8" s="580">
        <v>6</v>
      </c>
      <c r="C8" s="1">
        <v>117.15639810426499</v>
      </c>
      <c r="D8" s="20">
        <f>C8*(1+$J$3)</f>
        <v>123.59999999999957</v>
      </c>
      <c r="E8" s="582">
        <v>3458</v>
      </c>
      <c r="F8" s="582">
        <v>3410</v>
      </c>
      <c r="G8" s="3">
        <v>0.10249999999999999</v>
      </c>
      <c r="H8" s="3">
        <v>0.13166700000000001</v>
      </c>
      <c r="I8" s="21">
        <f>G8*(1+$L$3)</f>
        <v>0.12299999999999998</v>
      </c>
      <c r="J8" s="21">
        <f>H8*(1+$L$3)</f>
        <v>0.15800040000000001</v>
      </c>
      <c r="K8" s="22">
        <f>E$8*G8</f>
        <v>354.44499999999999</v>
      </c>
      <c r="L8" s="22">
        <f>E$8*H8</f>
        <v>455.304486</v>
      </c>
      <c r="M8" s="22">
        <f>C8+(K8+L8)</f>
        <v>926.90588410426494</v>
      </c>
      <c r="N8" s="23">
        <f>C8+(1+$J$3)+(K8+L8)*(1+$L$3)</f>
        <v>1089.9107813042649</v>
      </c>
      <c r="O8" s="584">
        <f>N8-N9</f>
        <v>357.75390930426499</v>
      </c>
      <c r="P8" s="586">
        <f>O8/12</f>
        <v>29.812825775355417</v>
      </c>
      <c r="Q8" s="13"/>
      <c r="R8" s="592" t="s">
        <v>24</v>
      </c>
      <c r="S8" s="594">
        <v>0.123</v>
      </c>
      <c r="T8" s="596">
        <f>T6*(1+$L$3)</f>
        <v>0.12299999999999998</v>
      </c>
    </row>
    <row r="9" spans="1:20" ht="15.75" thickBot="1" x14ac:dyDescent="0.3">
      <c r="A9" s="24" t="s">
        <v>16</v>
      </c>
      <c r="B9" s="581"/>
      <c r="C9" s="2">
        <v>96.96</v>
      </c>
      <c r="D9" s="25">
        <f>C9*(1+$J$3)</f>
        <v>102.29279999999999</v>
      </c>
      <c r="E9" s="583"/>
      <c r="F9" s="583"/>
      <c r="G9" s="4">
        <v>6.3270000000000007E-2</v>
      </c>
      <c r="H9" s="4">
        <v>8.9550000000000005E-2</v>
      </c>
      <c r="I9" s="26">
        <f>G9*(1+$L$3)</f>
        <v>7.5924000000000005E-2</v>
      </c>
      <c r="J9" s="26">
        <f>H9*(1+$L$3)</f>
        <v>0.10746</v>
      </c>
      <c r="K9" s="27">
        <f>E$8*G9</f>
        <v>218.78766000000002</v>
      </c>
      <c r="L9" s="27">
        <f>E$8*H9</f>
        <v>309.66390000000001</v>
      </c>
      <c r="M9" s="27">
        <f>C9+(K9+L9)</f>
        <v>625.41156000000001</v>
      </c>
      <c r="N9" s="28">
        <f>C9+(1+$J$3)+(K9+L9)*(1+$L$3)</f>
        <v>732.15687199999991</v>
      </c>
      <c r="O9" s="585">
        <f>SUM(D9,L9,M9)*1.2</f>
        <v>1244.8419119999999</v>
      </c>
      <c r="P9" s="587">
        <f>SUM(E9,M9,N9)*1.2</f>
        <v>1629.0821183999999</v>
      </c>
      <c r="Q9" s="13"/>
      <c r="R9" s="593"/>
      <c r="S9" s="595"/>
      <c r="T9" s="597"/>
    </row>
    <row r="10" spans="1:20" ht="15.75" thickBot="1" x14ac:dyDescent="0.3">
      <c r="A10" s="10"/>
      <c r="B10" s="13"/>
      <c r="C10" s="13"/>
      <c r="D10" s="13"/>
      <c r="E10" s="13"/>
      <c r="F10" s="13"/>
      <c r="G10" s="13"/>
      <c r="H10" s="32"/>
      <c r="I10" s="13"/>
      <c r="J10" s="13"/>
      <c r="K10" s="13"/>
      <c r="L10" s="13"/>
      <c r="M10" s="13"/>
      <c r="N10" s="13"/>
      <c r="O10" s="13"/>
      <c r="P10" s="13"/>
      <c r="Q10" s="13"/>
      <c r="R10" s="598" t="s">
        <v>12</v>
      </c>
      <c r="S10" s="598"/>
      <c r="T10" s="598"/>
    </row>
    <row r="11" spans="1:20" ht="15.75" thickBot="1" x14ac:dyDescent="0.3">
      <c r="A11" s="10"/>
      <c r="B11" s="29"/>
      <c r="C11" s="571" t="s">
        <v>13</v>
      </c>
      <c r="D11" s="571"/>
      <c r="E11" s="572"/>
      <c r="F11" s="13"/>
      <c r="G11" s="13"/>
      <c r="H11" s="13"/>
      <c r="I11" s="13"/>
      <c r="J11" s="13"/>
      <c r="K11" s="13"/>
      <c r="L11" s="13"/>
      <c r="M11" s="13"/>
      <c r="N11" s="13"/>
      <c r="O11" s="13"/>
      <c r="P11" s="13"/>
      <c r="Q11" s="30"/>
      <c r="R11" s="10"/>
      <c r="S11" s="10"/>
      <c r="T11" s="10"/>
    </row>
    <row r="12" spans="1:20" x14ac:dyDescent="0.25">
      <c r="A12" s="10"/>
      <c r="B12" s="13"/>
      <c r="C12" s="13"/>
      <c r="D12" s="13"/>
      <c r="E12" s="13"/>
      <c r="F12" s="13"/>
      <c r="G12" s="13"/>
      <c r="H12" s="13"/>
      <c r="I12" s="13"/>
      <c r="J12" s="13"/>
      <c r="K12" s="13"/>
      <c r="L12" s="13"/>
      <c r="M12" s="13"/>
      <c r="N12" s="13"/>
      <c r="O12" s="13"/>
      <c r="P12" s="13"/>
      <c r="Q12" s="13"/>
      <c r="R12" s="10"/>
      <c r="S12" s="10"/>
      <c r="T12" s="10"/>
    </row>
    <row r="13" spans="1:20" x14ac:dyDescent="0.25">
      <c r="A13" s="10"/>
      <c r="B13" s="13"/>
      <c r="C13" s="13"/>
      <c r="D13" s="13"/>
      <c r="E13" s="13"/>
      <c r="F13" s="13"/>
      <c r="G13" s="13"/>
      <c r="H13" s="13"/>
      <c r="I13" s="13"/>
      <c r="J13" s="13"/>
      <c r="K13" s="13"/>
      <c r="L13" s="13"/>
      <c r="M13" s="13"/>
      <c r="N13" s="13"/>
      <c r="O13" s="13"/>
      <c r="P13" s="13"/>
      <c r="Q13" s="13"/>
      <c r="R13" s="10"/>
      <c r="S13" s="10"/>
      <c r="T13" s="10"/>
    </row>
    <row r="14" spans="1:20" x14ac:dyDescent="0.25">
      <c r="A14" s="10"/>
      <c r="B14" s="599" t="s">
        <v>15</v>
      </c>
      <c r="C14" s="599"/>
      <c r="D14" s="599"/>
      <c r="E14" s="599"/>
      <c r="F14" s="599"/>
      <c r="G14" s="599"/>
      <c r="H14" s="599"/>
      <c r="I14" s="599"/>
      <c r="J14" s="599"/>
      <c r="K14" s="599"/>
      <c r="L14" s="599"/>
      <c r="M14" s="13"/>
      <c r="N14" s="13"/>
      <c r="O14" s="13"/>
      <c r="P14" s="13"/>
      <c r="Q14" s="13"/>
      <c r="R14" s="10"/>
      <c r="S14" s="10"/>
      <c r="T14" s="10"/>
    </row>
    <row r="15" spans="1:20" ht="15.75" thickBot="1" x14ac:dyDescent="0.3">
      <c r="A15" s="10"/>
      <c r="B15" s="10"/>
      <c r="C15" s="10"/>
      <c r="D15" s="10"/>
      <c r="E15" s="10"/>
      <c r="F15" s="10"/>
      <c r="G15" s="10"/>
      <c r="H15" s="10"/>
      <c r="I15" s="10"/>
      <c r="J15" s="10"/>
      <c r="K15" s="10"/>
      <c r="L15" s="10"/>
      <c r="M15" s="10"/>
      <c r="N15" s="10"/>
      <c r="O15" s="10"/>
      <c r="P15" s="10"/>
      <c r="Q15" s="13"/>
      <c r="R15" s="10"/>
      <c r="S15" s="10"/>
      <c r="T15" s="10"/>
    </row>
    <row r="16" spans="1:20" ht="45" customHeight="1" x14ac:dyDescent="0.25">
      <c r="A16" s="10"/>
      <c r="B16" s="588" t="s">
        <v>0</v>
      </c>
      <c r="C16" s="573" t="s">
        <v>25</v>
      </c>
      <c r="D16" s="576" t="s">
        <v>10</v>
      </c>
      <c r="E16" s="591" t="s">
        <v>1</v>
      </c>
      <c r="F16" s="591"/>
      <c r="G16" s="573" t="s">
        <v>7</v>
      </c>
      <c r="H16" s="573"/>
      <c r="I16" s="576" t="s">
        <v>8</v>
      </c>
      <c r="J16" s="576"/>
      <c r="K16" s="573" t="s">
        <v>4</v>
      </c>
      <c r="L16" s="573"/>
      <c r="M16" s="574" t="s">
        <v>5</v>
      </c>
      <c r="N16" s="576" t="s">
        <v>11</v>
      </c>
      <c r="O16" s="578" t="s">
        <v>17</v>
      </c>
      <c r="P16" s="578" t="s">
        <v>18</v>
      </c>
      <c r="Q16" s="13"/>
      <c r="R16" s="10"/>
      <c r="S16" s="10"/>
      <c r="T16" s="10"/>
    </row>
    <row r="17" spans="1:20" ht="30.75" thickBot="1" x14ac:dyDescent="0.3">
      <c r="A17" s="10"/>
      <c r="B17" s="589"/>
      <c r="C17" s="590"/>
      <c r="D17" s="577"/>
      <c r="E17" s="15" t="s">
        <v>2</v>
      </c>
      <c r="F17" s="15" t="s">
        <v>3</v>
      </c>
      <c r="G17" s="16" t="s">
        <v>2</v>
      </c>
      <c r="H17" s="16" t="s">
        <v>3</v>
      </c>
      <c r="I17" s="17" t="s">
        <v>2</v>
      </c>
      <c r="J17" s="17" t="s">
        <v>3</v>
      </c>
      <c r="K17" s="16" t="s">
        <v>2</v>
      </c>
      <c r="L17" s="16" t="s">
        <v>3</v>
      </c>
      <c r="M17" s="575"/>
      <c r="N17" s="577"/>
      <c r="O17" s="579"/>
      <c r="P17" s="579"/>
      <c r="Q17" s="10"/>
      <c r="R17" s="10"/>
      <c r="S17" s="10"/>
      <c r="T17" s="10"/>
    </row>
    <row r="18" spans="1:20" x14ac:dyDescent="0.25">
      <c r="A18" s="19" t="s">
        <v>6</v>
      </c>
      <c r="B18" s="580">
        <v>6</v>
      </c>
      <c r="C18" s="1">
        <v>117.15639810426499</v>
      </c>
      <c r="D18" s="20">
        <f>C18*(1+$J$3)</f>
        <v>123.59999999999957</v>
      </c>
      <c r="E18" s="582">
        <v>3458</v>
      </c>
      <c r="F18" s="582">
        <v>3410</v>
      </c>
      <c r="G18" s="31">
        <v>7.4448E-2</v>
      </c>
      <c r="H18" s="31">
        <v>0.10537100000000001</v>
      </c>
      <c r="I18" s="21">
        <f>G18*(1+$L$3)</f>
        <v>8.9337600000000003E-2</v>
      </c>
      <c r="J18" s="21">
        <f>H18*(1+$L$3)</f>
        <v>0.12644520000000001</v>
      </c>
      <c r="K18" s="22">
        <f>E$8*G18</f>
        <v>257.44118400000002</v>
      </c>
      <c r="L18" s="22">
        <f>E$8*H18</f>
        <v>364.37291800000003</v>
      </c>
      <c r="M18" s="22">
        <f>C18+(K18+L18)</f>
        <v>738.97050010426506</v>
      </c>
      <c r="N18" s="23">
        <f>C18+(1+$J$3)+(K18+L18)*(1+$L$3)</f>
        <v>864.38832050426504</v>
      </c>
      <c r="O18" s="584">
        <f>N18-N19</f>
        <v>132.23144850426513</v>
      </c>
      <c r="P18" s="586">
        <f>O18/12</f>
        <v>11.019287375355427</v>
      </c>
      <c r="Q18" s="10"/>
      <c r="R18" s="10"/>
      <c r="S18" s="10"/>
      <c r="T18" s="10"/>
    </row>
    <row r="19" spans="1:20" ht="15.75" thickBot="1" x14ac:dyDescent="0.3">
      <c r="A19" s="24" t="s">
        <v>16</v>
      </c>
      <c r="B19" s="581"/>
      <c r="C19" s="2">
        <v>96.96</v>
      </c>
      <c r="D19" s="25">
        <f>C19*(1+$J$3)</f>
        <v>102.29279999999999</v>
      </c>
      <c r="E19" s="583"/>
      <c r="F19" s="583"/>
      <c r="G19" s="5">
        <v>6.3270000000000007E-2</v>
      </c>
      <c r="H19" s="5">
        <v>8.9550000000000005E-2</v>
      </c>
      <c r="I19" s="26">
        <f>G19*(1+$L$3)</f>
        <v>7.5924000000000005E-2</v>
      </c>
      <c r="J19" s="26">
        <f>H19*(1+$L$3)</f>
        <v>0.10746</v>
      </c>
      <c r="K19" s="27">
        <f>E$8*G19</f>
        <v>218.78766000000002</v>
      </c>
      <c r="L19" s="27">
        <f>E$8*H19</f>
        <v>309.66390000000001</v>
      </c>
      <c r="M19" s="27">
        <f>C19+(K19+L19)</f>
        <v>625.41156000000001</v>
      </c>
      <c r="N19" s="28">
        <f>C19+(1+$J$3)+(K19+L19)*(1+$L$3)</f>
        <v>732.15687199999991</v>
      </c>
      <c r="O19" s="585">
        <f>SUM(D19,L19,M19)*1.2</f>
        <v>1244.8419119999999</v>
      </c>
      <c r="P19" s="587">
        <f>SUM(E19,M19,N19)*1.2</f>
        <v>1629.0821183999999</v>
      </c>
      <c r="Q19" s="10"/>
      <c r="R19" s="10"/>
      <c r="S19" s="10"/>
      <c r="T19" s="10"/>
    </row>
    <row r="20" spans="1:20" ht="15.75" thickBot="1" x14ac:dyDescent="0.3">
      <c r="A20" s="10"/>
      <c r="B20" s="13"/>
      <c r="C20" s="13"/>
      <c r="D20" s="13"/>
      <c r="E20" s="13"/>
      <c r="F20" s="13"/>
      <c r="G20" s="13"/>
      <c r="H20" s="13"/>
      <c r="I20" s="13"/>
      <c r="J20" s="13"/>
      <c r="K20" s="13"/>
      <c r="L20" s="13"/>
      <c r="M20" s="13"/>
      <c r="N20" s="13"/>
      <c r="O20" s="13"/>
      <c r="P20" s="13"/>
      <c r="Q20" s="10"/>
      <c r="R20" s="10"/>
      <c r="S20" s="10"/>
      <c r="T20" s="10"/>
    </row>
    <row r="21" spans="1:20" ht="15.75" thickBot="1" x14ac:dyDescent="0.3">
      <c r="A21" s="10"/>
      <c r="B21" s="29"/>
      <c r="C21" s="571" t="s">
        <v>13</v>
      </c>
      <c r="D21" s="571"/>
      <c r="E21" s="572"/>
      <c r="F21" s="13"/>
      <c r="G21" s="13"/>
      <c r="H21" s="13"/>
      <c r="I21" s="13"/>
      <c r="J21" s="13"/>
      <c r="K21" s="13"/>
      <c r="L21" s="13"/>
      <c r="M21" s="13"/>
      <c r="N21" s="13"/>
      <c r="O21" s="13"/>
      <c r="P21" s="13"/>
      <c r="Q21" s="10"/>
      <c r="R21" s="10"/>
      <c r="S21" s="10"/>
      <c r="T21" s="10"/>
    </row>
    <row r="22" spans="1:20" x14ac:dyDescent="0.25">
      <c r="A22" s="10"/>
      <c r="B22" s="10"/>
      <c r="C22" s="10"/>
      <c r="D22" s="10"/>
      <c r="E22" s="10"/>
      <c r="F22" s="10"/>
      <c r="G22" s="10"/>
      <c r="H22" s="10"/>
      <c r="I22" s="10"/>
      <c r="J22" s="10"/>
      <c r="K22" s="10"/>
      <c r="L22" s="10"/>
      <c r="M22" s="10"/>
      <c r="N22" s="10"/>
      <c r="O22" s="10"/>
      <c r="P22" s="10"/>
      <c r="Q22" s="10"/>
      <c r="R22" s="10"/>
      <c r="S22" s="10"/>
      <c r="T22" s="10"/>
    </row>
    <row r="23" spans="1:20" x14ac:dyDescent="0.25">
      <c r="A23" s="10"/>
      <c r="B23" s="10"/>
      <c r="C23" s="10"/>
      <c r="D23" s="10"/>
      <c r="E23" s="10"/>
      <c r="F23" s="10"/>
      <c r="G23" s="10"/>
      <c r="H23" s="10"/>
      <c r="I23" s="10"/>
      <c r="J23" s="10"/>
      <c r="K23" s="10"/>
      <c r="L23" s="10"/>
      <c r="M23" s="10"/>
      <c r="N23" s="10"/>
      <c r="O23" s="10"/>
      <c r="P23" s="10"/>
      <c r="Q23" s="10"/>
      <c r="R23" s="10"/>
      <c r="S23" s="10"/>
      <c r="T23" s="10"/>
    </row>
    <row r="24" spans="1:20" ht="15" customHeight="1" x14ac:dyDescent="0.25">
      <c r="A24" s="10"/>
      <c r="B24" s="10"/>
      <c r="C24" s="10"/>
      <c r="D24" s="10"/>
      <c r="E24" s="10"/>
      <c r="F24" s="10"/>
      <c r="G24" s="10"/>
      <c r="H24" s="10"/>
      <c r="I24" s="10"/>
      <c r="J24" s="10"/>
      <c r="K24" s="10"/>
      <c r="L24" s="10"/>
      <c r="M24" s="10"/>
      <c r="N24" s="10"/>
      <c r="O24" s="10"/>
      <c r="P24" s="10"/>
      <c r="Q24" s="10"/>
      <c r="R24" s="10"/>
      <c r="S24" s="10"/>
      <c r="T24" s="10"/>
    </row>
    <row r="25" spans="1:20" x14ac:dyDescent="0.25">
      <c r="A25" s="10"/>
      <c r="B25" s="10"/>
      <c r="C25" s="10"/>
      <c r="D25" s="10"/>
      <c r="E25" s="10"/>
      <c r="F25" s="10"/>
      <c r="G25" s="10"/>
      <c r="H25" s="10"/>
      <c r="I25" s="10"/>
      <c r="J25" s="10"/>
      <c r="K25" s="10"/>
      <c r="L25" s="10"/>
      <c r="M25" s="10"/>
      <c r="N25" s="10"/>
      <c r="O25" s="10"/>
      <c r="P25" s="10"/>
      <c r="Q25" s="10"/>
      <c r="R25" s="10"/>
      <c r="S25" s="10"/>
      <c r="T25" s="10"/>
    </row>
    <row r="26" spans="1:20" x14ac:dyDescent="0.25">
      <c r="A26" s="10"/>
      <c r="B26" s="10"/>
      <c r="C26" s="10"/>
      <c r="D26" s="10"/>
      <c r="E26" s="10"/>
      <c r="F26" s="10"/>
      <c r="G26" s="10"/>
      <c r="H26" s="10"/>
      <c r="I26" s="10"/>
      <c r="J26" s="10"/>
      <c r="K26" s="10"/>
      <c r="L26" s="10"/>
      <c r="M26" s="10"/>
      <c r="N26" s="10"/>
      <c r="O26" s="10"/>
      <c r="P26" s="10"/>
      <c r="Q26" s="10"/>
      <c r="R26" s="10"/>
      <c r="S26" s="10"/>
      <c r="T26" s="10"/>
    </row>
    <row r="27" spans="1:20" ht="15.75" customHeight="1" x14ac:dyDescent="0.25">
      <c r="A27" s="10"/>
      <c r="B27" s="10"/>
      <c r="C27" s="10"/>
      <c r="D27" s="10"/>
      <c r="E27" s="10"/>
      <c r="F27" s="10"/>
      <c r="G27" s="10"/>
      <c r="H27" s="10"/>
      <c r="I27" s="10"/>
      <c r="J27" s="10"/>
      <c r="K27" s="10"/>
      <c r="L27" s="10"/>
      <c r="M27" s="10"/>
      <c r="N27" s="10"/>
      <c r="O27" s="10"/>
      <c r="P27" s="10"/>
      <c r="Q27" s="10"/>
      <c r="R27" s="10"/>
      <c r="S27" s="10"/>
      <c r="T27" s="10"/>
    </row>
    <row r="28" spans="1:20" x14ac:dyDescent="0.25">
      <c r="A28" s="10"/>
      <c r="B28" s="10"/>
      <c r="C28" s="10"/>
      <c r="D28" s="10"/>
      <c r="E28" s="10"/>
      <c r="F28" s="10"/>
      <c r="G28" s="10"/>
      <c r="H28" s="10"/>
      <c r="I28" s="10"/>
      <c r="J28" s="10"/>
      <c r="K28" s="10"/>
      <c r="L28" s="10"/>
      <c r="M28" s="10"/>
      <c r="N28" s="10"/>
      <c r="O28" s="10"/>
      <c r="P28" s="10"/>
      <c r="Q28" s="10"/>
      <c r="R28" s="10"/>
      <c r="S28" s="10"/>
      <c r="T28" s="10"/>
    </row>
    <row r="29" spans="1:20" x14ac:dyDescent="0.25">
      <c r="A29" s="10"/>
      <c r="B29" s="10"/>
      <c r="C29" s="10"/>
      <c r="D29" s="10"/>
      <c r="E29" s="10"/>
      <c r="F29" s="10"/>
      <c r="G29" s="10"/>
      <c r="H29" s="10"/>
      <c r="I29" s="10"/>
      <c r="J29" s="10"/>
      <c r="K29" s="10"/>
      <c r="L29" s="10"/>
      <c r="M29" s="10"/>
      <c r="N29" s="10"/>
      <c r="O29" s="10"/>
      <c r="P29" s="10"/>
      <c r="Q29" s="10"/>
      <c r="R29" s="10"/>
      <c r="S29" s="10"/>
      <c r="T29" s="10"/>
    </row>
    <row r="30" spans="1:20" x14ac:dyDescent="0.25">
      <c r="A30" s="10"/>
      <c r="B30" s="10"/>
      <c r="C30" s="10"/>
      <c r="D30" s="10"/>
      <c r="E30" s="10"/>
      <c r="F30" s="10"/>
      <c r="G30" s="10"/>
      <c r="H30" s="10"/>
      <c r="I30" s="10"/>
      <c r="J30" s="10"/>
      <c r="K30" s="10"/>
      <c r="L30" s="10"/>
      <c r="M30" s="10"/>
      <c r="N30" s="10"/>
      <c r="O30" s="10"/>
      <c r="P30" s="10"/>
      <c r="Q30" s="10"/>
      <c r="R30" s="10"/>
      <c r="S30" s="10"/>
      <c r="T30" s="10"/>
    </row>
    <row r="31" spans="1:20" x14ac:dyDescent="0.25">
      <c r="A31" s="10"/>
      <c r="B31" s="10"/>
      <c r="C31" s="10"/>
      <c r="D31" s="10"/>
      <c r="E31" s="10"/>
      <c r="F31" s="10"/>
      <c r="G31" s="10"/>
      <c r="H31" s="10"/>
      <c r="I31" s="10"/>
      <c r="J31" s="10"/>
      <c r="K31" s="10"/>
      <c r="L31" s="10"/>
      <c r="M31" s="10"/>
      <c r="N31" s="10"/>
      <c r="O31" s="10"/>
      <c r="P31" s="10"/>
      <c r="Q31" s="10"/>
      <c r="R31" s="10"/>
      <c r="S31" s="10"/>
      <c r="T31" s="10"/>
    </row>
    <row r="32" spans="1:20" x14ac:dyDescent="0.25">
      <c r="A32" s="10"/>
      <c r="B32" s="10"/>
      <c r="C32" s="10"/>
      <c r="D32" s="10"/>
      <c r="E32" s="10"/>
      <c r="F32" s="10"/>
      <c r="G32" s="10"/>
      <c r="H32" s="10"/>
      <c r="I32" s="10"/>
      <c r="J32" s="10"/>
      <c r="K32" s="10"/>
      <c r="L32" s="10"/>
      <c r="M32" s="10"/>
      <c r="N32" s="10"/>
      <c r="O32" s="10"/>
      <c r="P32" s="10"/>
      <c r="Q32" s="10"/>
      <c r="R32" s="10"/>
      <c r="S32" s="10"/>
      <c r="T32" s="10"/>
    </row>
    <row r="33" spans="1:20" x14ac:dyDescent="0.25">
      <c r="A33" s="10"/>
      <c r="B33" s="10"/>
      <c r="C33" s="10"/>
      <c r="D33" s="10"/>
      <c r="E33" s="10"/>
      <c r="F33" s="10"/>
      <c r="G33" s="10"/>
      <c r="H33" s="10"/>
      <c r="I33" s="10"/>
      <c r="J33" s="10"/>
      <c r="K33" s="10"/>
      <c r="L33" s="10"/>
      <c r="M33" s="10"/>
      <c r="N33" s="10"/>
      <c r="O33" s="10"/>
      <c r="P33" s="10"/>
      <c r="Q33" s="10"/>
      <c r="R33" s="10"/>
      <c r="S33" s="10"/>
      <c r="T33" s="10"/>
    </row>
    <row r="34" spans="1:20" x14ac:dyDescent="0.25">
      <c r="A34" s="10"/>
      <c r="B34" s="10"/>
      <c r="C34" s="10"/>
      <c r="D34" s="10"/>
      <c r="E34" s="10"/>
      <c r="F34" s="10"/>
      <c r="G34" s="10"/>
      <c r="H34" s="10"/>
      <c r="I34" s="10"/>
      <c r="J34" s="10"/>
      <c r="K34" s="10"/>
      <c r="L34" s="10"/>
      <c r="M34" s="10"/>
      <c r="N34" s="10"/>
      <c r="O34" s="10"/>
      <c r="P34" s="10"/>
      <c r="Q34" s="10"/>
      <c r="R34" s="10"/>
      <c r="S34" s="10"/>
      <c r="T34" s="10"/>
    </row>
    <row r="35" spans="1:20" x14ac:dyDescent="0.25">
      <c r="A35" s="10"/>
      <c r="B35" s="10"/>
      <c r="C35" s="10"/>
      <c r="D35" s="10"/>
      <c r="E35" s="10"/>
      <c r="F35" s="10"/>
      <c r="G35" s="10"/>
      <c r="H35" s="10"/>
      <c r="I35" s="10"/>
      <c r="J35" s="10"/>
      <c r="K35" s="10"/>
      <c r="L35" s="10"/>
      <c r="M35" s="10"/>
      <c r="N35" s="10"/>
      <c r="O35" s="10"/>
      <c r="P35" s="10"/>
      <c r="Q35" s="10"/>
      <c r="R35" s="10"/>
      <c r="S35" s="10"/>
      <c r="T35" s="10"/>
    </row>
    <row r="36" spans="1:20" x14ac:dyDescent="0.25">
      <c r="A36" s="10"/>
      <c r="B36" s="10"/>
      <c r="C36" s="10"/>
      <c r="D36" s="10"/>
      <c r="E36" s="10"/>
      <c r="F36" s="10"/>
      <c r="G36" s="10"/>
      <c r="H36" s="10"/>
      <c r="I36" s="10"/>
      <c r="J36" s="10"/>
      <c r="K36" s="10"/>
      <c r="L36" s="10"/>
      <c r="M36" s="10"/>
      <c r="N36" s="10"/>
      <c r="O36" s="10"/>
      <c r="P36" s="10"/>
      <c r="Q36" s="10"/>
      <c r="R36" s="10"/>
      <c r="S36" s="10"/>
      <c r="T36" s="10"/>
    </row>
    <row r="37" spans="1:20" x14ac:dyDescent="0.25">
      <c r="A37" s="10"/>
      <c r="B37" s="10"/>
      <c r="C37" s="10"/>
      <c r="D37" s="10"/>
      <c r="E37" s="10"/>
      <c r="F37" s="10"/>
      <c r="G37" s="10"/>
      <c r="H37" s="10"/>
      <c r="I37" s="10"/>
      <c r="J37" s="10"/>
      <c r="K37" s="10"/>
      <c r="L37" s="10"/>
      <c r="M37" s="10"/>
      <c r="N37" s="10"/>
      <c r="O37" s="10"/>
      <c r="P37" s="10"/>
      <c r="Q37" s="10"/>
      <c r="R37" s="10"/>
      <c r="S37" s="10"/>
      <c r="T37" s="10"/>
    </row>
  </sheetData>
  <mergeCells count="46">
    <mergeCell ref="B4:O4"/>
    <mergeCell ref="J1:M1"/>
    <mergeCell ref="J2:K2"/>
    <mergeCell ref="L2:M2"/>
    <mergeCell ref="J3:K3"/>
    <mergeCell ref="L3:M3"/>
    <mergeCell ref="R5:T5"/>
    <mergeCell ref="B6:B7"/>
    <mergeCell ref="C6:C7"/>
    <mergeCell ref="D6:D7"/>
    <mergeCell ref="E6:F6"/>
    <mergeCell ref="G6:H6"/>
    <mergeCell ref="I6:J6"/>
    <mergeCell ref="K6:L6"/>
    <mergeCell ref="M6:M7"/>
    <mergeCell ref="N6:N7"/>
    <mergeCell ref="B14:L14"/>
    <mergeCell ref="O6:O7"/>
    <mergeCell ref="P6:P7"/>
    <mergeCell ref="B8:B9"/>
    <mergeCell ref="E8:E9"/>
    <mergeCell ref="F8:F9"/>
    <mergeCell ref="O8:O9"/>
    <mergeCell ref="P8:P9"/>
    <mergeCell ref="R8:R9"/>
    <mergeCell ref="S8:S9"/>
    <mergeCell ref="T8:T9"/>
    <mergeCell ref="R10:T10"/>
    <mergeCell ref="C11:E11"/>
    <mergeCell ref="P16:P17"/>
    <mergeCell ref="B18:B19"/>
    <mergeCell ref="E18:E19"/>
    <mergeCell ref="F18:F19"/>
    <mergeCell ref="O18:O19"/>
    <mergeCell ref="P18:P19"/>
    <mergeCell ref="B16:B17"/>
    <mergeCell ref="C16:C17"/>
    <mergeCell ref="D16:D17"/>
    <mergeCell ref="E16:F16"/>
    <mergeCell ref="G16:H16"/>
    <mergeCell ref="I16:J16"/>
    <mergeCell ref="C21:E21"/>
    <mergeCell ref="K16:L16"/>
    <mergeCell ref="M16:M17"/>
    <mergeCell ref="N16:N17"/>
    <mergeCell ref="O16:O17"/>
  </mergeCells>
  <conditionalFormatting sqref="O8:O9">
    <cfRule type="colorScale" priority="4">
      <colorScale>
        <cfvo type="num" val="-150"/>
        <cfvo type="num" val="150"/>
        <color rgb="FFF8696B"/>
        <color rgb="FF63BE7B"/>
      </colorScale>
    </cfRule>
  </conditionalFormatting>
  <conditionalFormatting sqref="P8:P9">
    <cfRule type="colorScale" priority="3">
      <colorScale>
        <cfvo type="num" val="-15"/>
        <cfvo type="num" val="15"/>
        <color rgb="FFF8696B"/>
        <color rgb="FF63BE7B"/>
      </colorScale>
    </cfRule>
  </conditionalFormatting>
  <conditionalFormatting sqref="O18:O19">
    <cfRule type="colorScale" priority="2">
      <colorScale>
        <cfvo type="num" val="-150"/>
        <cfvo type="num" val="150"/>
        <color rgb="FFF8696B"/>
        <color rgb="FF63BE7B"/>
      </colorScale>
    </cfRule>
  </conditionalFormatting>
  <conditionalFormatting sqref="P18:P19">
    <cfRule type="colorScale" priority="1">
      <colorScale>
        <cfvo type="num" val="-15"/>
        <cfvo type="num" val="15"/>
        <color rgb="FFF8696B"/>
        <color rgb="FF63BE7B"/>
      </colorScale>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DE6A-D865-4CF1-A598-B76FFAE9D8A1}">
  <sheetPr codeName="Feuil2">
    <tabColor rgb="FF0066FF"/>
    <pageSetUpPr fitToPage="1"/>
  </sheetPr>
  <dimension ref="A1:AK47"/>
  <sheetViews>
    <sheetView showGridLines="0" showRowColHeaders="0" showZeros="0" tabSelected="1" zoomScaleNormal="100" zoomScaleSheetLayoutView="88" workbookViewId="0">
      <pane ySplit="3" topLeftCell="A4" activePane="bottomLeft" state="frozen"/>
      <selection activeCell="H1" sqref="H1"/>
      <selection pane="bottomLeft" activeCell="I6" sqref="I6:M6"/>
    </sheetView>
  </sheetViews>
  <sheetFormatPr baseColWidth="10" defaultRowHeight="15" x14ac:dyDescent="0.25"/>
  <cols>
    <col min="1" max="1" width="23.7109375" style="11" customWidth="1"/>
    <col min="2" max="2" width="11.42578125" style="11"/>
    <col min="3" max="8" width="17.7109375" style="11" customWidth="1"/>
    <col min="9" max="9" width="21.7109375" style="11" customWidth="1"/>
    <col min="10" max="11" width="14.140625" style="11" customWidth="1"/>
    <col min="12" max="13" width="13.5703125" style="11" customWidth="1"/>
    <col min="14" max="15" width="15.7109375" style="11" customWidth="1"/>
    <col min="16" max="16" width="18.7109375" style="11" hidden="1" customWidth="1"/>
    <col min="17" max="17" width="28.140625" style="11" hidden="1" customWidth="1"/>
    <col min="18" max="18" width="18.7109375" style="11" hidden="1" customWidth="1"/>
    <col min="19" max="19" width="4.7109375" style="11" hidden="1" customWidth="1"/>
    <col min="20" max="26" width="18.7109375" style="11" customWidth="1"/>
    <col min="27" max="27" width="16.7109375" style="11" customWidth="1"/>
    <col min="28" max="29" width="18.7109375" style="11" customWidth="1"/>
    <col min="30" max="30" width="3.140625" style="11" customWidth="1"/>
    <col min="31" max="33" width="16.7109375" style="11" customWidth="1"/>
    <col min="34" max="34" width="15.28515625" style="11" customWidth="1"/>
    <col min="35" max="35" width="11.42578125" style="11"/>
    <col min="36" max="36" width="19.28515625" style="11" customWidth="1"/>
    <col min="37" max="37" width="14.7109375" style="11" customWidth="1"/>
    <col min="38" max="16384" width="11.42578125" style="11"/>
  </cols>
  <sheetData>
    <row r="1" spans="1:29" ht="45" customHeight="1" thickBot="1" x14ac:dyDescent="0.3">
      <c r="A1" s="419"/>
      <c r="B1" s="419"/>
      <c r="C1" s="429" t="s">
        <v>19</v>
      </c>
      <c r="D1" s="405"/>
      <c r="E1" s="430" t="s">
        <v>34</v>
      </c>
      <c r="F1" s="436" t="s">
        <v>168</v>
      </c>
      <c r="G1" s="275" t="s">
        <v>64</v>
      </c>
      <c r="H1" s="337" t="s">
        <v>35</v>
      </c>
      <c r="I1" s="403" t="s">
        <v>48</v>
      </c>
      <c r="J1" s="404"/>
      <c r="K1" s="404"/>
      <c r="L1" s="404"/>
      <c r="M1" s="405"/>
      <c r="N1" s="10"/>
      <c r="R1" s="10"/>
      <c r="S1" s="10"/>
      <c r="T1" s="10"/>
      <c r="U1" s="10"/>
      <c r="V1" s="10"/>
      <c r="W1" s="10"/>
      <c r="X1" s="10"/>
      <c r="Y1" s="10"/>
      <c r="Z1" s="10"/>
      <c r="AA1" s="10"/>
      <c r="AB1" s="10"/>
      <c r="AC1" s="10"/>
    </row>
    <row r="2" spans="1:29" ht="35.1" customHeight="1" x14ac:dyDescent="0.25">
      <c r="A2" s="419"/>
      <c r="B2" s="419"/>
      <c r="C2" s="278" t="s">
        <v>20</v>
      </c>
      <c r="D2" s="282" t="s">
        <v>21</v>
      </c>
      <c r="E2" s="431"/>
      <c r="F2" s="437"/>
      <c r="G2" s="319" t="s">
        <v>224</v>
      </c>
      <c r="H2" s="276"/>
      <c r="I2" s="338" t="s">
        <v>230</v>
      </c>
      <c r="J2" s="408" t="s">
        <v>229</v>
      </c>
      <c r="K2" s="409"/>
      <c r="L2" s="408" t="s">
        <v>232</v>
      </c>
      <c r="M2" s="412"/>
      <c r="N2" s="10"/>
      <c r="R2" s="10"/>
      <c r="S2" s="10"/>
      <c r="T2" s="10"/>
      <c r="U2" s="10"/>
      <c r="V2" s="10"/>
      <c r="W2" s="10"/>
      <c r="X2" s="10"/>
      <c r="Y2" s="10"/>
      <c r="Z2" s="10"/>
      <c r="AA2" s="10"/>
      <c r="AB2" s="10"/>
      <c r="AC2" s="10"/>
    </row>
    <row r="3" spans="1:29" ht="35.1" customHeight="1" thickBot="1" x14ac:dyDescent="0.3">
      <c r="A3" s="10"/>
      <c r="B3" s="10"/>
      <c r="C3" s="279">
        <v>5.5E-2</v>
      </c>
      <c r="D3" s="283">
        <f>IF(E3="OUI",R33,R32)</f>
        <v>0.2</v>
      </c>
      <c r="E3" s="281" t="s">
        <v>36</v>
      </c>
      <c r="F3" s="280" t="s">
        <v>62</v>
      </c>
      <c r="G3" s="320" t="s">
        <v>231</v>
      </c>
      <c r="H3" s="277"/>
      <c r="I3" s="284">
        <v>4.2500000000000003E-3</v>
      </c>
      <c r="J3" s="410">
        <v>2.2499999999999999E-2</v>
      </c>
      <c r="K3" s="411"/>
      <c r="L3" s="413">
        <v>38.04</v>
      </c>
      <c r="M3" s="414"/>
      <c r="N3" s="10"/>
      <c r="S3" s="10"/>
      <c r="T3" s="10"/>
      <c r="U3" s="10"/>
      <c r="V3" s="10"/>
      <c r="W3" s="10"/>
      <c r="X3" s="10"/>
      <c r="Y3" s="10"/>
      <c r="Z3" s="10"/>
      <c r="AA3" s="10"/>
      <c r="AB3" s="10"/>
      <c r="AC3" s="10"/>
    </row>
    <row r="4" spans="1:29" ht="20.100000000000001" customHeight="1" x14ac:dyDescent="0.25">
      <c r="A4" s="10"/>
      <c r="B4" s="10"/>
      <c r="C4" s="10"/>
      <c r="D4" s="10"/>
      <c r="E4" s="224"/>
      <c r="F4" s="224"/>
      <c r="G4" s="89"/>
      <c r="H4" s="89"/>
      <c r="I4" s="225"/>
      <c r="J4" s="226"/>
      <c r="K4" s="226"/>
      <c r="L4" s="227"/>
      <c r="M4" s="227"/>
      <c r="N4" s="10"/>
      <c r="S4" s="10"/>
      <c r="T4" s="10"/>
      <c r="U4" s="10"/>
      <c r="V4" s="10"/>
      <c r="W4" s="10"/>
      <c r="X4" s="10"/>
      <c r="Y4" s="10"/>
      <c r="Z4" s="10"/>
      <c r="AA4" s="10"/>
      <c r="AB4" s="10"/>
      <c r="AC4" s="10"/>
    </row>
    <row r="5" spans="1:29" ht="20.100000000000001" customHeight="1" x14ac:dyDescent="0.25">
      <c r="A5" s="10"/>
      <c r="B5" s="10"/>
      <c r="C5" s="10"/>
      <c r="D5" s="10"/>
      <c r="E5" s="39"/>
      <c r="F5" s="39"/>
      <c r="G5" s="39"/>
      <c r="N5" s="10"/>
      <c r="O5" s="10"/>
      <c r="P5" s="10"/>
      <c r="S5" s="10"/>
      <c r="T5" s="10"/>
      <c r="U5" s="10"/>
      <c r="V5" s="10"/>
      <c r="W5" s="10"/>
      <c r="X5" s="10"/>
      <c r="Y5" s="10"/>
      <c r="Z5" s="10"/>
      <c r="AA5" s="10"/>
      <c r="AB5" s="10"/>
      <c r="AC5" s="10"/>
    </row>
    <row r="6" spans="1:29" ht="20.100000000000001" customHeight="1" x14ac:dyDescent="0.3">
      <c r="A6" s="440" t="str">
        <f>CONCATENATE("Attention, date limite : ",TEXT(MégaEnergie_Elec!E5,"JJ/MM/AAAA"))</f>
        <v>Attention, date limite : 30/04/2021</v>
      </c>
      <c r="B6" s="440"/>
      <c r="C6" s="440"/>
      <c r="I6" s="442" t="s">
        <v>242</v>
      </c>
      <c r="J6" s="442"/>
      <c r="K6" s="442"/>
      <c r="L6" s="442"/>
      <c r="M6" s="442"/>
      <c r="S6" s="10"/>
      <c r="T6" s="10"/>
      <c r="U6" s="10"/>
      <c r="V6" s="10"/>
      <c r="W6" s="10"/>
      <c r="X6" s="10"/>
      <c r="Y6" s="10"/>
      <c r="Z6" s="10"/>
      <c r="AA6" s="10"/>
      <c r="AB6" s="10"/>
      <c r="AC6" s="10"/>
    </row>
    <row r="7" spans="1:29" ht="20.100000000000001" customHeight="1" x14ac:dyDescent="0.25">
      <c r="A7" s="10"/>
      <c r="B7" s="10"/>
      <c r="C7" s="10"/>
      <c r="D7" s="10"/>
      <c r="E7" s="39"/>
      <c r="F7" s="39"/>
      <c r="G7" s="39"/>
      <c r="I7" s="443" t="s">
        <v>239</v>
      </c>
      <c r="J7" s="443"/>
      <c r="K7" s="443"/>
      <c r="L7" s="443"/>
      <c r="M7" s="443"/>
      <c r="S7" s="10"/>
      <c r="T7" s="10"/>
      <c r="U7" s="10"/>
      <c r="V7" s="10"/>
      <c r="W7" s="10"/>
      <c r="X7" s="10"/>
      <c r="Y7" s="10"/>
      <c r="Z7" s="10"/>
      <c r="AA7" s="10"/>
      <c r="AB7" s="10"/>
      <c r="AC7" s="10"/>
    </row>
    <row r="8" spans="1:29" ht="20.100000000000001" customHeight="1" x14ac:dyDescent="0.25">
      <c r="A8" s="421" t="s">
        <v>53</v>
      </c>
      <c r="B8" s="421"/>
      <c r="C8" s="421"/>
      <c r="D8" s="421"/>
      <c r="G8" s="52"/>
      <c r="I8" s="443" t="s">
        <v>125</v>
      </c>
      <c r="J8" s="443"/>
      <c r="K8" s="443"/>
      <c r="L8" s="443"/>
      <c r="M8" s="443"/>
      <c r="S8" s="10"/>
      <c r="T8" s="10"/>
      <c r="U8" s="10"/>
      <c r="V8" s="10"/>
      <c r="W8" s="10"/>
      <c r="X8" s="10"/>
      <c r="Y8" s="10"/>
      <c r="Z8" s="10"/>
      <c r="AA8" s="10"/>
      <c r="AB8" s="10"/>
      <c r="AC8" s="10"/>
    </row>
    <row r="9" spans="1:29" ht="20.100000000000001" customHeight="1" x14ac:dyDescent="0.25">
      <c r="A9" s="10"/>
      <c r="B9" s="10"/>
      <c r="C9" s="10"/>
      <c r="D9" s="10"/>
      <c r="E9" s="10"/>
      <c r="F9" s="10"/>
      <c r="G9" s="10"/>
      <c r="I9" s="343" t="s">
        <v>240</v>
      </c>
      <c r="J9" s="444" t="s">
        <v>127</v>
      </c>
      <c r="K9" s="444"/>
      <c r="L9" s="444"/>
      <c r="M9" s="444"/>
      <c r="R9" s="10"/>
      <c r="S9" s="10"/>
      <c r="T9" s="10"/>
      <c r="U9" s="10"/>
      <c r="V9" s="10"/>
      <c r="W9" s="10"/>
      <c r="X9" s="10"/>
      <c r="Y9" s="10"/>
      <c r="Z9" s="10"/>
      <c r="AA9" s="10"/>
      <c r="AB9" s="10"/>
      <c r="AC9" s="10"/>
    </row>
    <row r="10" spans="1:29" ht="20.100000000000001" customHeight="1" x14ac:dyDescent="0.25">
      <c r="A10" s="40"/>
      <c r="B10" s="420" t="str">
        <f>CONCATENATE("Tarif Bleu - ",B14," kVA - Option BASE")</f>
        <v>Tarif Bleu - 9 kVA - Option BASE</v>
      </c>
      <c r="C10" s="420"/>
      <c r="D10" s="420"/>
      <c r="E10" s="420"/>
      <c r="F10" s="420"/>
      <c r="G10" s="420"/>
      <c r="N10" s="10"/>
      <c r="O10" s="52"/>
      <c r="P10" s="41"/>
      <c r="S10" s="41"/>
      <c r="T10" s="41"/>
      <c r="U10" s="41"/>
      <c r="V10" s="41"/>
      <c r="W10" s="41"/>
      <c r="X10" s="41"/>
      <c r="Y10" s="41"/>
      <c r="Z10" s="13"/>
      <c r="AA10" s="10"/>
      <c r="AB10" s="10"/>
      <c r="AC10" s="10"/>
    </row>
    <row r="11" spans="1:29" ht="4.5" customHeight="1" thickBot="1" x14ac:dyDescent="0.3">
      <c r="N11" s="10"/>
      <c r="O11" s="10"/>
      <c r="P11" s="10"/>
      <c r="S11" s="10"/>
      <c r="T11" s="10"/>
      <c r="U11" s="10"/>
      <c r="V11" s="10"/>
      <c r="W11" s="10"/>
      <c r="X11" s="10"/>
      <c r="Y11" s="10"/>
      <c r="Z11" s="13"/>
      <c r="AA11" s="10"/>
      <c r="AB11" s="10"/>
      <c r="AC11" s="10"/>
    </row>
    <row r="12" spans="1:29" ht="50.1" customHeight="1" x14ac:dyDescent="0.25">
      <c r="A12" s="427" t="str">
        <f>CONCATENATE("COMPARATIF AVANT LE ",TEXT(MégaEnergie_Elec!E5+1,"JJ/MM/AAAA"))</f>
        <v>COMPARATIF AVANT LE 01/05/2021</v>
      </c>
      <c r="B12" s="432" t="s">
        <v>33</v>
      </c>
      <c r="C12" s="406" t="s">
        <v>50</v>
      </c>
      <c r="D12" s="434" t="s">
        <v>45</v>
      </c>
      <c r="E12" s="438" t="s">
        <v>46</v>
      </c>
      <c r="F12" s="406" t="s">
        <v>47</v>
      </c>
      <c r="G12" s="406" t="s">
        <v>5</v>
      </c>
      <c r="H12" s="406" t="s">
        <v>117</v>
      </c>
      <c r="I12" s="406" t="s">
        <v>49</v>
      </c>
      <c r="J12" s="415" t="s">
        <v>116</v>
      </c>
      <c r="K12" s="416"/>
      <c r="L12" s="417" t="s">
        <v>121</v>
      </c>
      <c r="M12" s="418"/>
      <c r="N12" s="10"/>
      <c r="Z12" s="13"/>
      <c r="AA12" s="10"/>
      <c r="AB12" s="10"/>
      <c r="AC12" s="10"/>
    </row>
    <row r="13" spans="1:29" ht="24.95" customHeight="1" x14ac:dyDescent="0.25">
      <c r="A13" s="428"/>
      <c r="B13" s="433"/>
      <c r="C13" s="407"/>
      <c r="D13" s="435"/>
      <c r="E13" s="439"/>
      <c r="F13" s="407"/>
      <c r="G13" s="407"/>
      <c r="H13" s="407"/>
      <c r="I13" s="407"/>
      <c r="J13" s="59" t="s">
        <v>55</v>
      </c>
      <c r="K13" s="59" t="s">
        <v>54</v>
      </c>
      <c r="L13" s="59" t="s">
        <v>130</v>
      </c>
      <c r="M13" s="311" t="s">
        <v>119</v>
      </c>
      <c r="N13" s="13"/>
      <c r="O13" s="13"/>
      <c r="P13" s="13"/>
      <c r="Q13" s="13"/>
      <c r="R13" s="13"/>
      <c r="S13" s="13"/>
      <c r="T13" s="13"/>
      <c r="U13" s="13"/>
      <c r="V13" s="13"/>
      <c r="W13" s="13"/>
      <c r="X13" s="13"/>
      <c r="Y13" s="13"/>
      <c r="Z13" s="13"/>
      <c r="AA13" s="10"/>
      <c r="AB13" s="10"/>
      <c r="AC13" s="10"/>
    </row>
    <row r="14" spans="1:29" ht="24.95" customHeight="1" x14ac:dyDescent="0.25">
      <c r="A14" s="303" t="str">
        <f>IF(H1="OUI",EDF!A41,"EDF ou autre Fournisseur")</f>
        <v>EDF</v>
      </c>
      <c r="B14" s="423">
        <v>9</v>
      </c>
      <c r="C14" s="56">
        <f>IF(H1="OUI",IF($F$3=$Q$46,VLOOKUP($B$14,TB_Base,2,FALSE)*12,IF($F$3=$Q$47,VLOOKUP($B$14,TBE_Base,2,FALSE)*12,"Err")),H2)</f>
        <v>120.24</v>
      </c>
      <c r="D14" s="425">
        <v>4500</v>
      </c>
      <c r="E14" s="57">
        <f>IF(H1="OUI",IF($F$3=$Q$46,VLOOKUP($B$14,TB_Base,3,FALSE),IF($F$3=$Q$47,VLOOKUP($B$14,TBE_Base,3,FALSE),"Err")),H3)</f>
        <v>0.10340000000000001</v>
      </c>
      <c r="F14" s="58">
        <f>$D$14*E14</f>
        <v>465.3</v>
      </c>
      <c r="G14" s="58">
        <f>IF(C14*F14&lt;&gt;0,C14+F14,0)</f>
        <v>585.54</v>
      </c>
      <c r="H14" s="58">
        <f>IF(I3*J3*L3&lt;&gt;0,$D$14*(I$3+J$3)+L$3,0)</f>
        <v>158.41499999999999</v>
      </c>
      <c r="I14" s="121">
        <f>IF(G14*H14&lt;&gt;0,(1+D$3)*(D$14*(I$3+J$3)+F14)+(1+C$3)*(C14+L$3),0)</f>
        <v>869.79539999999997</v>
      </c>
      <c r="J14" s="172"/>
      <c r="K14" s="172"/>
      <c r="L14" s="172"/>
      <c r="M14" s="304"/>
      <c r="N14" s="13"/>
      <c r="O14" s="122"/>
      <c r="T14" s="13"/>
      <c r="U14" s="13"/>
      <c r="V14" s="13"/>
      <c r="W14" s="13"/>
      <c r="X14" s="13"/>
      <c r="Y14" s="13"/>
      <c r="Z14" s="13"/>
      <c r="AA14" s="10"/>
      <c r="AB14" s="10"/>
      <c r="AC14" s="10"/>
    </row>
    <row r="15" spans="1:29" ht="24.95" customHeight="1" thickBot="1" x14ac:dyDescent="0.3">
      <c r="A15" s="305" t="str">
        <f>MégaEnergie_Elec!A8</f>
        <v>Méga Energie</v>
      </c>
      <c r="B15" s="424"/>
      <c r="C15" s="306">
        <f>IF($F$3=$Q$46,VLOOKUP($B$14,YG_Part_Base,2,FALSE)*12,IF($F$3=$Q$47,VLOOKUP($B$14,YG_Pro_Base,2,FALSE)*12,"Err"))</f>
        <v>120.24</v>
      </c>
      <c r="D15" s="426"/>
      <c r="E15" s="307">
        <f>IF($F$3=$Q$46,VLOOKUP($B$14,YG_Part_Base,3,FALSE),IF($F$3=$Q$47,VLOOKUP($B$14,YG_Pro_Base,3,FALSE),"Err"))</f>
        <v>8.4788000000000002E-2</v>
      </c>
      <c r="F15" s="308">
        <f>$D$14*E15</f>
        <v>381.54599999999999</v>
      </c>
      <c r="G15" s="308">
        <f>IF(C15*F15&lt;&gt;0,C15+F15,0)</f>
        <v>501.786</v>
      </c>
      <c r="H15" s="308">
        <f>IF(I3*J3*L3&lt;&gt;0,$D$14*(I$3+J$3)+L$3,0)</f>
        <v>158.41499999999999</v>
      </c>
      <c r="I15" s="309">
        <f>IF(G15*H15&lt;&gt;0,(1+D$3)*(D$14*(I$3+J$3)+F15)+(1+C$3)*(C15+L$3),0)</f>
        <v>769.29060000000004</v>
      </c>
      <c r="J15" s="312">
        <f>IF(I14*I15&lt;&gt;0,1-SUM(G15:H15)/SUM(G$14:H$14),0)</f>
        <v>0.11257938988245242</v>
      </c>
      <c r="K15" s="312">
        <f>IF(J15&lt;&gt;0,1-I15/I$14,0)</f>
        <v>0.11554993277729442</v>
      </c>
      <c r="L15" s="339">
        <f>IF(J15&lt;&gt;0,I$14-I15,0)</f>
        <v>100.50479999999993</v>
      </c>
      <c r="M15" s="340">
        <f>L15/12</f>
        <v>8.3753999999999937</v>
      </c>
      <c r="N15" s="13"/>
      <c r="O15" s="122"/>
      <c r="T15" s="13"/>
      <c r="U15" s="13"/>
      <c r="V15" s="13"/>
      <c r="W15" s="13"/>
      <c r="X15" s="13"/>
      <c r="Y15" s="13"/>
      <c r="Z15" s="13"/>
      <c r="AA15" s="10"/>
      <c r="AB15" s="10"/>
      <c r="AC15" s="10"/>
    </row>
    <row r="16" spans="1:29" ht="15.75" customHeight="1" x14ac:dyDescent="0.25">
      <c r="A16" s="422" t="str">
        <f>IF(C14*E14&lt;&gt;0,CONCATENATE("Avant le ",TEXT(MégaEnergie_Elec!E5+1,"JJ/MM/AAAA"), " , le prix du kWh HT ",MégaEnergie_Elec!A8," est inférieur de ",ROUND((1-F15/F14)*100,2),"% à celui d'EDF tarif réglementé, pendant 12 mois ."),"Attention : Vous avez indiqué que votre tarif n'est pas réglementé. Il vous faut renseigner les tarifs de l'abonnement et du kWh HT")</f>
        <v>Avant le 01/05/2021 , le prix du kWh HT Méga Energie est inférieur de 18% à celui d'EDF tarif réglementé, pendant 12 mois .</v>
      </c>
      <c r="B16" s="422"/>
      <c r="C16" s="422"/>
      <c r="D16" s="422"/>
      <c r="E16" s="422"/>
      <c r="F16" s="422"/>
      <c r="G16" s="422"/>
      <c r="H16" s="422"/>
      <c r="I16" s="422"/>
      <c r="J16" s="422"/>
      <c r="K16" s="422"/>
      <c r="L16" s="422"/>
      <c r="M16" s="422"/>
      <c r="N16" s="13"/>
      <c r="O16" s="38"/>
      <c r="T16" s="13"/>
      <c r="U16" s="13"/>
      <c r="V16" s="13"/>
      <c r="W16" s="13"/>
      <c r="X16" s="13"/>
      <c r="Y16" s="13"/>
      <c r="Z16" s="13"/>
      <c r="AA16" s="10"/>
      <c r="AB16" s="10"/>
      <c r="AC16" s="10"/>
    </row>
    <row r="17" spans="1:26" ht="15.75" customHeight="1" x14ac:dyDescent="0.25">
      <c r="A17" s="441"/>
      <c r="B17" s="441"/>
      <c r="C17" s="441"/>
      <c r="D17" s="441"/>
      <c r="E17" s="441"/>
      <c r="F17" s="441"/>
      <c r="G17" s="441"/>
      <c r="H17" s="441"/>
      <c r="I17" s="441"/>
      <c r="J17" s="441"/>
      <c r="K17" s="441"/>
      <c r="L17" s="441"/>
      <c r="M17" s="441"/>
      <c r="Y17" s="10"/>
      <c r="Z17" s="10"/>
    </row>
    <row r="18" spans="1:26" ht="15.75" customHeight="1" x14ac:dyDescent="0.25">
      <c r="A18" s="84" t="s">
        <v>71</v>
      </c>
      <c r="B18" s="402" t="s">
        <v>72</v>
      </c>
      <c r="C18" s="402"/>
      <c r="D18" s="402"/>
      <c r="E18" s="402"/>
      <c r="F18" s="402"/>
      <c r="G18" s="402"/>
      <c r="H18" s="402"/>
      <c r="I18" s="402"/>
      <c r="J18" s="402"/>
      <c r="K18" s="402"/>
      <c r="L18" s="402"/>
      <c r="M18" s="402"/>
      <c r="O18" s="13"/>
      <c r="P18" s="13"/>
      <c r="Q18" s="13"/>
      <c r="R18" s="13"/>
      <c r="S18" s="13"/>
      <c r="Y18" s="13"/>
      <c r="Z18" s="10"/>
    </row>
    <row r="19" spans="1:26" ht="15.75" customHeight="1" x14ac:dyDescent="0.25">
      <c r="A19" s="84" t="s">
        <v>73</v>
      </c>
      <c r="B19" s="267" t="s">
        <v>135</v>
      </c>
      <c r="C19" s="267"/>
      <c r="D19" s="267"/>
      <c r="E19" s="267"/>
      <c r="F19" s="267"/>
      <c r="G19" s="267"/>
      <c r="H19" s="267"/>
      <c r="I19" s="267"/>
      <c r="J19" s="267"/>
      <c r="K19" s="267"/>
      <c r="L19" s="267"/>
      <c r="M19" s="267"/>
      <c r="O19" s="13"/>
      <c r="P19" s="13"/>
      <c r="Q19" s="13"/>
      <c r="R19" s="13"/>
      <c r="S19" s="13"/>
      <c r="Y19" s="13"/>
      <c r="Z19" s="10"/>
    </row>
    <row r="20" spans="1:26" ht="15.75" customHeight="1" x14ac:dyDescent="0.25">
      <c r="A20" s="84" t="s">
        <v>100</v>
      </c>
      <c r="B20" s="402" t="s">
        <v>169</v>
      </c>
      <c r="C20" s="402"/>
      <c r="D20" s="402"/>
      <c r="E20" s="402"/>
      <c r="F20" s="402"/>
      <c r="G20" s="402"/>
      <c r="H20" s="402"/>
      <c r="I20" s="402"/>
      <c r="J20" s="402"/>
      <c r="K20" s="402"/>
      <c r="L20" s="402"/>
      <c r="M20" s="402"/>
      <c r="N20" s="55"/>
      <c r="O20" s="55"/>
      <c r="P20" s="55"/>
      <c r="Q20" s="13"/>
      <c r="R20" s="13"/>
      <c r="S20" s="13"/>
      <c r="Y20" s="13"/>
      <c r="Z20" s="10"/>
    </row>
    <row r="21" spans="1:26" ht="4.5" customHeight="1" x14ac:dyDescent="0.25">
      <c r="A21" s="84"/>
      <c r="B21" s="85"/>
      <c r="C21" s="85"/>
      <c r="D21" s="85"/>
      <c r="E21" s="85"/>
      <c r="F21" s="85"/>
      <c r="G21" s="85"/>
      <c r="H21" s="85"/>
      <c r="I21" s="85"/>
      <c r="J21" s="85"/>
      <c r="K21" s="143"/>
      <c r="L21" s="143"/>
      <c r="M21" s="85"/>
      <c r="N21" s="55"/>
      <c r="O21" s="55"/>
      <c r="P21" s="55"/>
      <c r="Y21" s="13"/>
      <c r="Z21" s="10"/>
    </row>
    <row r="22" spans="1:26" x14ac:dyDescent="0.25">
      <c r="A22" s="401" t="s">
        <v>235</v>
      </c>
      <c r="B22" s="401"/>
      <c r="C22" s="86"/>
      <c r="D22" s="86"/>
      <c r="E22" s="86"/>
      <c r="F22" s="86"/>
      <c r="G22" s="86"/>
      <c r="H22" s="86"/>
      <c r="I22" s="86"/>
      <c r="J22" s="86"/>
      <c r="K22" s="87"/>
      <c r="L22" s="87" t="s">
        <v>74</v>
      </c>
      <c r="M22" s="88">
        <f ca="1">TODAY()</f>
        <v>44275</v>
      </c>
      <c r="O22" s="13"/>
      <c r="P22" s="13"/>
      <c r="Q22" s="13"/>
      <c r="R22" s="13"/>
      <c r="S22" s="13"/>
      <c r="Y22" s="10"/>
      <c r="Z22" s="10"/>
    </row>
    <row r="23" spans="1:26" x14ac:dyDescent="0.25">
      <c r="A23" s="10"/>
      <c r="B23" s="10"/>
      <c r="C23" s="10"/>
      <c r="D23" s="10"/>
      <c r="E23" s="10"/>
      <c r="F23" s="10"/>
      <c r="G23" s="10"/>
      <c r="H23" s="10"/>
      <c r="I23" s="10"/>
      <c r="J23" s="10"/>
      <c r="K23" s="10"/>
      <c r="L23" s="10"/>
      <c r="O23" s="13"/>
      <c r="P23" s="13"/>
      <c r="Q23" s="110" t="s">
        <v>115</v>
      </c>
      <c r="R23" s="109" t="e">
        <f>#REF!/E14 -1</f>
        <v>#REF!</v>
      </c>
      <c r="S23" s="13"/>
      <c r="Y23" s="10"/>
      <c r="Z23" s="10"/>
    </row>
    <row r="24" spans="1:26" ht="15" customHeight="1" x14ac:dyDescent="0.25">
      <c r="Y24" s="10"/>
      <c r="Z24" s="10"/>
    </row>
    <row r="25" spans="1:26" ht="64.5" customHeight="1" x14ac:dyDescent="0.25">
      <c r="P25" s="13"/>
      <c r="Q25" s="60" t="str">
        <f>IF(G3="OUI",CONCATENATE(G1," validée"),CONCATENATE(G1," non validée"))</f>
        <v>Tarif réglementé ? non validée</v>
      </c>
      <c r="R25" s="61" t="e">
        <f>IF(G3="OUI",ROUND(100*(1-(#REF!/#REF!)),0),ROUND(100*(1-(#REF!/#REF!)),0)-2)</f>
        <v>#REF!</v>
      </c>
      <c r="S25" s="13"/>
      <c r="Y25" s="10"/>
      <c r="Z25" s="10"/>
    </row>
    <row r="26" spans="1:26" ht="15.75" thickBot="1" x14ac:dyDescent="0.3">
      <c r="Y26" s="10"/>
      <c r="Z26" s="10"/>
    </row>
    <row r="27" spans="1:26" x14ac:dyDescent="0.25">
      <c r="Q27" s="399" t="s">
        <v>38</v>
      </c>
      <c r="R27" s="46" t="s">
        <v>35</v>
      </c>
      <c r="Y27" s="10"/>
      <c r="Z27" s="10"/>
    </row>
    <row r="28" spans="1:26" ht="15.75" customHeight="1" thickBot="1" x14ac:dyDescent="0.3">
      <c r="Q28" s="400"/>
      <c r="R28" s="47" t="s">
        <v>36</v>
      </c>
      <c r="Y28" s="10"/>
      <c r="Z28" s="10"/>
    </row>
    <row r="29" spans="1:26" x14ac:dyDescent="0.25">
      <c r="Y29" s="10"/>
      <c r="Z29" s="10"/>
    </row>
    <row r="30" spans="1:26" ht="15.75" thickBot="1" x14ac:dyDescent="0.3">
      <c r="Y30" s="10"/>
      <c r="Z30" s="10"/>
    </row>
    <row r="31" spans="1:26" x14ac:dyDescent="0.25">
      <c r="Q31" s="42" t="s">
        <v>37</v>
      </c>
      <c r="R31" s="43">
        <v>5.5E-2</v>
      </c>
      <c r="Y31" s="10"/>
      <c r="Z31" s="10"/>
    </row>
    <row r="32" spans="1:26" x14ac:dyDescent="0.25">
      <c r="Q32" s="48" t="s">
        <v>39</v>
      </c>
      <c r="R32" s="49">
        <v>0.2</v>
      </c>
      <c r="Y32" s="10"/>
      <c r="Z32" s="10"/>
    </row>
    <row r="33" spans="1:37" ht="15.75" thickBot="1" x14ac:dyDescent="0.3">
      <c r="A33" s="10"/>
      <c r="B33" s="10"/>
      <c r="C33" s="10"/>
      <c r="D33" s="10"/>
      <c r="E33" s="10"/>
      <c r="F33" s="10"/>
      <c r="G33" s="10"/>
      <c r="H33" s="10"/>
      <c r="I33" s="10"/>
      <c r="J33" s="10"/>
      <c r="K33" s="10"/>
      <c r="L33" s="10"/>
      <c r="Q33" s="44" t="s">
        <v>40</v>
      </c>
      <c r="R33" s="45">
        <v>0.1</v>
      </c>
      <c r="Y33" s="10"/>
      <c r="Z33" s="10"/>
    </row>
    <row r="34" spans="1:37" x14ac:dyDescent="0.25">
      <c r="A34" s="10"/>
      <c r="B34" s="10"/>
      <c r="C34" s="10"/>
      <c r="D34" s="10"/>
      <c r="E34" s="10"/>
      <c r="F34" s="10"/>
      <c r="G34" s="10"/>
      <c r="H34" s="10"/>
      <c r="I34" s="10"/>
      <c r="J34" s="10"/>
      <c r="K34" s="10"/>
      <c r="L34" s="10"/>
      <c r="Y34" s="10"/>
      <c r="Z34" s="10"/>
    </row>
    <row r="35" spans="1:37" x14ac:dyDescent="0.25">
      <c r="A35" s="10"/>
      <c r="B35" s="10"/>
      <c r="C35" s="10"/>
      <c r="D35" s="10"/>
      <c r="E35" s="10"/>
      <c r="F35" s="10"/>
      <c r="G35" s="10"/>
      <c r="H35" s="10"/>
      <c r="I35" s="10"/>
      <c r="J35" s="10"/>
      <c r="K35" s="10"/>
      <c r="L35" s="10"/>
      <c r="Q35" s="396" t="s">
        <v>68</v>
      </c>
      <c r="R35" s="82">
        <f>EDF!B9</f>
        <v>3</v>
      </c>
      <c r="Y35" s="10"/>
      <c r="Z35" s="10"/>
      <c r="AJ35" s="33"/>
      <c r="AK35" s="34"/>
    </row>
    <row r="36" spans="1:37" x14ac:dyDescent="0.25">
      <c r="A36" s="10"/>
      <c r="B36" s="10"/>
      <c r="C36" s="10"/>
      <c r="D36" s="10"/>
      <c r="E36" s="10"/>
      <c r="F36" s="10"/>
      <c r="G36" s="10"/>
      <c r="H36" s="10"/>
      <c r="I36" s="10"/>
      <c r="J36" s="10"/>
      <c r="K36" s="10"/>
      <c r="L36" s="10"/>
      <c r="Q36" s="397"/>
      <c r="R36" s="82">
        <f>EDF!B10</f>
        <v>6</v>
      </c>
      <c r="Y36" s="10"/>
      <c r="Z36" s="10"/>
      <c r="AJ36" s="33"/>
      <c r="AK36" s="34"/>
    </row>
    <row r="37" spans="1:37" x14ac:dyDescent="0.25">
      <c r="Q37" s="397"/>
      <c r="R37" s="82">
        <f>EDF!B11</f>
        <v>9</v>
      </c>
      <c r="Y37" s="10"/>
      <c r="Z37" s="10"/>
      <c r="AJ37" s="33"/>
      <c r="AK37" s="34"/>
    </row>
    <row r="38" spans="1:37" x14ac:dyDescent="0.25">
      <c r="Q38" s="397"/>
      <c r="R38" s="82">
        <f>EDF!B12</f>
        <v>12</v>
      </c>
      <c r="Y38" s="10"/>
      <c r="Z38" s="10"/>
      <c r="AJ38" s="33"/>
      <c r="AK38" s="34"/>
    </row>
    <row r="39" spans="1:37" x14ac:dyDescent="0.25">
      <c r="Q39" s="397"/>
      <c r="R39" s="82">
        <f>EDF!B13</f>
        <v>15</v>
      </c>
      <c r="AJ39" s="33"/>
      <c r="AK39" s="34"/>
    </row>
    <row r="40" spans="1:37" x14ac:dyDescent="0.25">
      <c r="Q40" s="397"/>
      <c r="R40" s="82">
        <f>EDF!B14</f>
        <v>18</v>
      </c>
      <c r="AJ40" s="33"/>
      <c r="AK40" s="34"/>
    </row>
    <row r="41" spans="1:37" x14ac:dyDescent="0.25">
      <c r="Q41" s="397"/>
      <c r="R41" s="82">
        <f>EDF!B15</f>
        <v>24</v>
      </c>
      <c r="AJ41" s="33"/>
      <c r="AK41" s="34"/>
    </row>
    <row r="42" spans="1:37" x14ac:dyDescent="0.25">
      <c r="Q42" s="397"/>
      <c r="R42" s="82">
        <f>EDF!B16</f>
        <v>30</v>
      </c>
      <c r="AJ42" s="33"/>
      <c r="AK42" s="34"/>
    </row>
    <row r="43" spans="1:37" x14ac:dyDescent="0.25">
      <c r="Q43" s="398"/>
      <c r="R43" s="82">
        <f>EDF!B17</f>
        <v>36</v>
      </c>
      <c r="AJ43" s="33"/>
      <c r="AK43" s="34"/>
    </row>
    <row r="45" spans="1:37" x14ac:dyDescent="0.25">
      <c r="Q45" s="79" t="s">
        <v>61</v>
      </c>
    </row>
    <row r="46" spans="1:37" x14ac:dyDescent="0.25">
      <c r="Q46" s="80" t="s">
        <v>62</v>
      </c>
    </row>
    <row r="47" spans="1:37" x14ac:dyDescent="0.25">
      <c r="Q47" s="80" t="s">
        <v>63</v>
      </c>
    </row>
  </sheetData>
  <sheetProtection algorithmName="SHA-512" hashValue="d+ov3HD8l4GDdBULy2Vr5+JrlFB9m54wY1jfW5PzqmX2DTHKPbPABKr3mWIImp7WbCb20pYo+7pYhtuARWu6Zg==" saltValue="oMQB4bqk1TubAyDhoGdkDA==" spinCount="100000" sheet="1" selectLockedCells="1"/>
  <mergeCells count="36">
    <mergeCell ref="A6:C6"/>
    <mergeCell ref="A17:M17"/>
    <mergeCell ref="I6:M6"/>
    <mergeCell ref="I7:M7"/>
    <mergeCell ref="I8:M8"/>
    <mergeCell ref="J9:M9"/>
    <mergeCell ref="A1:B2"/>
    <mergeCell ref="B10:G10"/>
    <mergeCell ref="A8:D8"/>
    <mergeCell ref="A16:M16"/>
    <mergeCell ref="C12:C13"/>
    <mergeCell ref="B14:B15"/>
    <mergeCell ref="D14:D15"/>
    <mergeCell ref="A12:A13"/>
    <mergeCell ref="C1:D1"/>
    <mergeCell ref="E1:E2"/>
    <mergeCell ref="B12:B13"/>
    <mergeCell ref="G12:G13"/>
    <mergeCell ref="F12:F13"/>
    <mergeCell ref="D12:D13"/>
    <mergeCell ref="F1:F2"/>
    <mergeCell ref="E12:E13"/>
    <mergeCell ref="I1:M1"/>
    <mergeCell ref="H12:H13"/>
    <mergeCell ref="I12:I13"/>
    <mergeCell ref="J2:K2"/>
    <mergeCell ref="J3:K3"/>
    <mergeCell ref="L2:M2"/>
    <mergeCell ref="L3:M3"/>
    <mergeCell ref="J12:K12"/>
    <mergeCell ref="L12:M12"/>
    <mergeCell ref="Q35:Q43"/>
    <mergeCell ref="Q27:Q28"/>
    <mergeCell ref="A22:B22"/>
    <mergeCell ref="B18:M18"/>
    <mergeCell ref="B20:M20"/>
  </mergeCells>
  <dataValidations xWindow="923" yWindow="239" count="6">
    <dataValidation type="list" allowBlank="1" showInputMessage="1" showErrorMessage="1" promptTitle="Valeur TVA" prompt="10% sur logements neufs_x000a_20% sur logements anciens" sqref="E4" xr:uid="{CBB09D5B-865A-4CAA-A8DC-F7ECAFBD4730}">
      <formula1>$R$27:$R$28</formula1>
    </dataValidation>
    <dataValidation type="list" allowBlank="1" showInputMessage="1" showErrorMessage="1" sqref="F4" xr:uid="{72886B5F-FAAD-4DE3-BC78-65D3C0BDB699}">
      <formula1>$Q$46:$Q$47</formula1>
    </dataValidation>
    <dataValidation type="list" allowBlank="1" showInputMessage="1" showErrorMessage="1" error="Veuillez sélectionner la réponse dans la liste." sqref="H1" xr:uid="{0F2D791B-F416-4A11-9E31-8C8FA6A7E3A8}">
      <formula1>$R$27:$R$28</formula1>
    </dataValidation>
    <dataValidation type="list" allowBlank="1" showInputMessage="1" showErrorMessage="1" error="Veuillez sélectionner la réponse dans la liste." promptTitle="Valeur TVA" prompt="10% sur logements neufs_x000a_20% sur logements anciens" sqref="E3" xr:uid="{13FE63C0-3D35-4075-A696-8C25815C7F8C}">
      <formula1>$R$27:$R$28</formula1>
    </dataValidation>
    <dataValidation type="list" allowBlank="1" showInputMessage="1" showErrorMessage="1" error="Veuillez sélectionner la réponse dans la liste." sqref="F3" xr:uid="{A5B415F3-5EAC-4D50-825D-4FCD6F3B68B1}">
      <formula1>$Q$46:$Q$47</formula1>
    </dataValidation>
    <dataValidation type="list" allowBlank="1" showInputMessage="1" showErrorMessage="1" error="Veuillez sélectionner la réponse dans la liste." promptTitle="Sélectionnez votre puissance" sqref="B14:B15" xr:uid="{DF96144A-0A46-415C-8FB1-F1902F23DDEA}">
      <formula1>$R$35:$R$43</formula1>
    </dataValidation>
  </dataValidations>
  <printOptions horizontalCentered="1"/>
  <pageMargins left="0" right="0" top="0.19685039370078741" bottom="0.39370078740157483" header="0.31496062992125984" footer="0.31496062992125984"/>
  <pageSetup paperSize="9"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0AD-D34C-4FDC-8D97-FC2D9231F3EB}">
  <sheetPr codeName="Feuil3">
    <tabColor rgb="FF3366FF"/>
    <pageSetUpPr fitToPage="1"/>
  </sheetPr>
  <dimension ref="A1:AM48"/>
  <sheetViews>
    <sheetView showGridLines="0" showRowColHeaders="0" showZeros="0" zoomScaleNormal="100" zoomScaleSheetLayoutView="88" workbookViewId="0">
      <pane ySplit="3" topLeftCell="A4" activePane="bottomLeft" state="frozen"/>
      <selection activeCell="B8" sqref="B8:G8"/>
      <selection pane="bottomLeft" activeCell="H3" sqref="H3"/>
    </sheetView>
  </sheetViews>
  <sheetFormatPr baseColWidth="10" defaultRowHeight="15" x14ac:dyDescent="0.25"/>
  <cols>
    <col min="1" max="1" width="23.7109375" style="11" customWidth="1"/>
    <col min="2" max="2" width="11.42578125" style="11"/>
    <col min="3" max="3" width="14.42578125" style="11" customWidth="1"/>
    <col min="4" max="5" width="9.7109375" style="11" customWidth="1"/>
    <col min="6" max="7" width="14.7109375" style="11" customWidth="1"/>
    <col min="8" max="9" width="16.7109375" style="11" customWidth="1"/>
    <col min="10" max="15" width="14.7109375" style="11" customWidth="1"/>
    <col min="16" max="16" width="15.28515625" style="11" customWidth="1"/>
    <col min="17" max="17" width="13.42578125" style="11" customWidth="1"/>
    <col min="18" max="19" width="13.140625" style="11" customWidth="1"/>
    <col min="20" max="20" width="13.140625" style="11" hidden="1" customWidth="1"/>
    <col min="21" max="21" width="29" style="11" hidden="1" customWidth="1"/>
    <col min="22" max="23" width="18.7109375" style="11" hidden="1" customWidth="1"/>
    <col min="24" max="28" width="18.7109375" style="11" customWidth="1"/>
    <col min="29" max="29" width="16.7109375" style="11" customWidth="1"/>
    <col min="30" max="31" width="18.7109375" style="11" customWidth="1"/>
    <col min="32" max="32" width="3.140625" style="11" customWidth="1"/>
    <col min="33" max="35" width="16.7109375" style="11" customWidth="1"/>
    <col min="36" max="36" width="15.28515625" style="11" customWidth="1"/>
    <col min="37" max="37" width="11.42578125" style="11"/>
    <col min="38" max="38" width="19.28515625" style="11" customWidth="1"/>
    <col min="39" max="39" width="14.7109375" style="11" customWidth="1"/>
    <col min="40" max="16384" width="11.42578125" style="11"/>
  </cols>
  <sheetData>
    <row r="1" spans="1:31" ht="45" customHeight="1" x14ac:dyDescent="0.25">
      <c r="A1" s="54"/>
      <c r="B1" s="54"/>
      <c r="C1" s="451" t="s">
        <v>19</v>
      </c>
      <c r="D1" s="452"/>
      <c r="E1" s="452"/>
      <c r="F1" s="455" t="s">
        <v>34</v>
      </c>
      <c r="G1" s="457" t="s">
        <v>168</v>
      </c>
      <c r="H1" s="453" t="s">
        <v>64</v>
      </c>
      <c r="I1" s="289" t="s">
        <v>224</v>
      </c>
      <c r="J1" s="228"/>
      <c r="N1" s="460" t="s">
        <v>48</v>
      </c>
      <c r="O1" s="461"/>
      <c r="P1" s="462"/>
      <c r="U1" s="10"/>
      <c r="V1" s="10"/>
      <c r="AA1" s="10"/>
      <c r="AB1" s="10"/>
      <c r="AC1" s="10"/>
      <c r="AD1" s="10"/>
      <c r="AE1" s="10"/>
    </row>
    <row r="2" spans="1:31" ht="35.1" customHeight="1" x14ac:dyDescent="0.25">
      <c r="A2" s="53"/>
      <c r="B2" s="53"/>
      <c r="C2" s="290" t="s">
        <v>20</v>
      </c>
      <c r="D2" s="465" t="s">
        <v>21</v>
      </c>
      <c r="E2" s="465"/>
      <c r="F2" s="456"/>
      <c r="G2" s="458"/>
      <c r="H2" s="454"/>
      <c r="I2" s="291" t="s">
        <v>227</v>
      </c>
      <c r="J2" s="229"/>
      <c r="N2" s="90" t="str">
        <f>IF($G$3=$U$34,"TCFE HT en €/kWh",IF($G$3=$U$35,"TDCFE + TCCFE HT en €/kWh","Err"))</f>
        <v>TCFE HT en €/kWh</v>
      </c>
      <c r="O2" s="90" t="s">
        <v>229</v>
      </c>
      <c r="P2" s="90" t="s">
        <v>232</v>
      </c>
      <c r="U2" s="10"/>
      <c r="V2" s="10"/>
      <c r="AA2" s="10"/>
      <c r="AB2" s="10"/>
      <c r="AC2" s="10"/>
      <c r="AD2" s="10"/>
      <c r="AE2" s="10"/>
    </row>
    <row r="3" spans="1:31" ht="35.1" customHeight="1" thickBot="1" x14ac:dyDescent="0.3">
      <c r="A3" s="10"/>
      <c r="B3" s="10"/>
      <c r="C3" s="292">
        <v>5.5E-2</v>
      </c>
      <c r="D3" s="466">
        <f>IF(F3="OUI",V31,V30)</f>
        <v>0.2</v>
      </c>
      <c r="E3" s="466"/>
      <c r="F3" s="293" t="s">
        <v>36</v>
      </c>
      <c r="G3" s="294" t="s">
        <v>62</v>
      </c>
      <c r="H3" s="295" t="s">
        <v>35</v>
      </c>
      <c r="I3" s="296" t="s">
        <v>228</v>
      </c>
      <c r="J3" s="230"/>
      <c r="N3" s="123">
        <v>6.45E-3</v>
      </c>
      <c r="O3" s="111">
        <v>2.2599999999999999E-2</v>
      </c>
      <c r="P3" s="112">
        <v>36.9</v>
      </c>
      <c r="U3" s="10"/>
      <c r="V3" s="10"/>
      <c r="AA3" s="10"/>
      <c r="AB3" s="10"/>
      <c r="AC3" s="10"/>
      <c r="AD3" s="10"/>
      <c r="AE3" s="10"/>
    </row>
    <row r="4" spans="1:31" ht="18" customHeight="1" x14ac:dyDescent="0.25">
      <c r="A4" s="10"/>
      <c r="B4" s="10"/>
      <c r="C4" s="10"/>
      <c r="D4" s="10"/>
      <c r="E4" s="10"/>
      <c r="F4" s="10"/>
      <c r="G4" s="39"/>
      <c r="K4" s="81"/>
      <c r="L4" s="81"/>
      <c r="U4" s="10"/>
      <c r="V4" s="10"/>
      <c r="W4" s="10"/>
      <c r="X4" s="10"/>
      <c r="AA4" s="10"/>
      <c r="AB4" s="10"/>
      <c r="AC4" s="10"/>
      <c r="AD4" s="10"/>
      <c r="AE4" s="10"/>
    </row>
    <row r="5" spans="1:31" ht="18" customHeight="1" x14ac:dyDescent="0.25">
      <c r="A5" s="10"/>
      <c r="B5" s="10"/>
      <c r="C5" s="10"/>
      <c r="D5" s="10"/>
      <c r="E5" s="10"/>
      <c r="F5" s="10"/>
      <c r="U5" s="10"/>
      <c r="V5" s="10"/>
      <c r="W5" s="10"/>
      <c r="X5" s="10"/>
      <c r="Y5" s="10"/>
      <c r="Z5" s="10"/>
      <c r="AA5" s="10"/>
      <c r="AB5" s="10"/>
      <c r="AC5" s="10"/>
      <c r="AD5" s="10"/>
      <c r="AE5" s="10"/>
    </row>
    <row r="6" spans="1:31" ht="18" customHeight="1" x14ac:dyDescent="0.3">
      <c r="A6" s="440" t="str">
        <f>CONCATENATE("Attention, date limite : ",TEXT(MégaEnergie_Elec!E5,"JJ/MM/AAAA"))</f>
        <v>Attention, date limite : 30/04/2021</v>
      </c>
      <c r="B6" s="440"/>
      <c r="C6" s="440"/>
      <c r="L6" s="442" t="s">
        <v>123</v>
      </c>
      <c r="M6" s="442"/>
      <c r="N6" s="442"/>
      <c r="O6" s="442"/>
      <c r="P6" s="442"/>
      <c r="AB6" s="10"/>
    </row>
    <row r="7" spans="1:31" ht="18" customHeight="1" x14ac:dyDescent="0.25">
      <c r="L7" s="443" t="s">
        <v>124</v>
      </c>
      <c r="M7" s="443"/>
      <c r="N7" s="443"/>
      <c r="O7" s="443"/>
      <c r="P7" s="443"/>
      <c r="AB7" s="10"/>
    </row>
    <row r="8" spans="1:31" ht="18" customHeight="1" x14ac:dyDescent="0.25">
      <c r="A8" s="421" t="s">
        <v>53</v>
      </c>
      <c r="B8" s="421"/>
      <c r="C8" s="421"/>
      <c r="D8" s="421"/>
      <c r="E8" s="10"/>
      <c r="F8" s="10"/>
      <c r="G8" s="10"/>
      <c r="L8" s="443" t="s">
        <v>125</v>
      </c>
      <c r="M8" s="443"/>
      <c r="N8" s="443"/>
      <c r="O8" s="443"/>
      <c r="P8" s="443"/>
      <c r="AB8" s="10"/>
    </row>
    <row r="9" spans="1:31" ht="18" customHeight="1" x14ac:dyDescent="0.25">
      <c r="A9" s="40"/>
      <c r="H9" s="39"/>
      <c r="L9" s="343" t="s">
        <v>126</v>
      </c>
      <c r="M9" s="444" t="s">
        <v>127</v>
      </c>
      <c r="N9" s="444"/>
      <c r="O9" s="444"/>
      <c r="P9" s="444"/>
      <c r="AB9" s="10"/>
      <c r="AC9" s="10"/>
      <c r="AD9" s="10"/>
      <c r="AE9" s="10"/>
    </row>
    <row r="10" spans="1:31" ht="18" customHeight="1" x14ac:dyDescent="0.25">
      <c r="B10" s="459" t="str">
        <f>CONCATENATE("Tarif Bleu - ",G3," - ",B14," kVA - Option Heures Creuses")</f>
        <v>Tarif Bleu - Particulier - 9 kVA - Option Heures Creuses</v>
      </c>
      <c r="C10" s="459"/>
      <c r="D10" s="459"/>
      <c r="E10" s="459"/>
      <c r="F10" s="459"/>
      <c r="H10" s="52"/>
      <c r="I10" s="52"/>
      <c r="J10" s="52"/>
      <c r="K10" s="52"/>
      <c r="L10" s="52"/>
      <c r="M10" s="52"/>
      <c r="N10" s="52"/>
      <c r="O10" s="52"/>
      <c r="P10" s="52"/>
      <c r="Z10" s="74"/>
      <c r="AA10" s="74"/>
      <c r="AB10" s="13"/>
      <c r="AC10" s="10"/>
      <c r="AD10" s="10"/>
      <c r="AE10" s="10"/>
    </row>
    <row r="11" spans="1:31" ht="4.5" customHeight="1" thickBot="1" x14ac:dyDescent="0.3">
      <c r="A11" s="10"/>
      <c r="H11" s="10"/>
      <c r="I11" s="10"/>
      <c r="J11" s="10"/>
      <c r="K11" s="10"/>
      <c r="L11" s="10"/>
      <c r="M11" s="10"/>
      <c r="N11" s="10"/>
      <c r="O11" s="10"/>
      <c r="P11" s="10"/>
      <c r="Z11" s="10"/>
      <c r="AA11" s="10"/>
      <c r="AB11" s="13"/>
      <c r="AC11" s="10"/>
      <c r="AD11" s="10"/>
      <c r="AE11" s="10"/>
    </row>
    <row r="12" spans="1:31" ht="50.1" customHeight="1" x14ac:dyDescent="0.25">
      <c r="A12" s="463" t="str">
        <f>'1a_Electricité_Comparatifs_Base'!A12:A13</f>
        <v>COMPARATIF AVANT LE 01/05/2021</v>
      </c>
      <c r="B12" s="434" t="s">
        <v>33</v>
      </c>
      <c r="C12" s="406" t="s">
        <v>50</v>
      </c>
      <c r="D12" s="434" t="s">
        <v>1</v>
      </c>
      <c r="E12" s="434"/>
      <c r="F12" s="406" t="s">
        <v>51</v>
      </c>
      <c r="G12" s="406"/>
      <c r="H12" s="406" t="s">
        <v>52</v>
      </c>
      <c r="I12" s="406"/>
      <c r="J12" s="406" t="s">
        <v>5</v>
      </c>
      <c r="K12" s="406" t="s">
        <v>117</v>
      </c>
      <c r="L12" s="406" t="s">
        <v>49</v>
      </c>
      <c r="M12" s="415" t="s">
        <v>116</v>
      </c>
      <c r="N12" s="416"/>
      <c r="O12" s="417" t="s">
        <v>120</v>
      </c>
      <c r="P12" s="418"/>
      <c r="Q12" s="13"/>
      <c r="R12" s="13"/>
      <c r="S12" s="13"/>
      <c r="T12" s="13"/>
      <c r="U12" s="13"/>
      <c r="V12" s="13"/>
      <c r="W12" s="13"/>
      <c r="X12" s="13"/>
      <c r="Y12" s="13"/>
      <c r="Z12" s="13"/>
      <c r="AA12" s="13"/>
      <c r="AB12" s="13"/>
      <c r="AC12" s="10"/>
      <c r="AD12" s="10"/>
      <c r="AE12" s="10"/>
    </row>
    <row r="13" spans="1:31" ht="24.95" customHeight="1" x14ac:dyDescent="0.25">
      <c r="A13" s="464"/>
      <c r="B13" s="435"/>
      <c r="C13" s="407"/>
      <c r="D13" s="270" t="s">
        <v>57</v>
      </c>
      <c r="E13" s="270" t="s">
        <v>56</v>
      </c>
      <c r="F13" s="271" t="s">
        <v>57</v>
      </c>
      <c r="G13" s="271" t="s">
        <v>56</v>
      </c>
      <c r="H13" s="271" t="s">
        <v>57</v>
      </c>
      <c r="I13" s="271" t="s">
        <v>56</v>
      </c>
      <c r="J13" s="407"/>
      <c r="K13" s="407"/>
      <c r="L13" s="407"/>
      <c r="M13" s="285" t="s">
        <v>55</v>
      </c>
      <c r="N13" s="285" t="s">
        <v>54</v>
      </c>
      <c r="O13" s="285" t="s">
        <v>130</v>
      </c>
      <c r="P13" s="286" t="s">
        <v>119</v>
      </c>
      <c r="Q13" s="13"/>
      <c r="X13" s="13"/>
      <c r="Y13" s="13"/>
      <c r="Z13" s="13"/>
      <c r="AA13" s="13"/>
      <c r="AB13" s="13"/>
      <c r="AC13" s="10"/>
      <c r="AD13" s="10"/>
      <c r="AE13" s="10"/>
    </row>
    <row r="14" spans="1:31" ht="24.95" customHeight="1" x14ac:dyDescent="0.25">
      <c r="A14" s="303" t="str">
        <f>IF(H3="OUI",EDF!A41,"EDF ou autre Fournisseur")</f>
        <v>EDF</v>
      </c>
      <c r="B14" s="423">
        <v>9</v>
      </c>
      <c r="C14" s="56">
        <f>IF($H$3="OUI",IF($G$3=$U$34,VLOOKUP($B$14,TB_HPHC,2,FALSE)*12,IF($G$3=$U$35,VLOOKUP($B$14,TBE_HPHC,2,FALSE)*12,"Err")),$J$1)</f>
        <v>132.35999999999999</v>
      </c>
      <c r="D14" s="446">
        <v>8000</v>
      </c>
      <c r="E14" s="446">
        <v>6000</v>
      </c>
      <c r="F14" s="57">
        <f>IF($H$3="OUI",IF($G$3=$U$34,VLOOKUP($B$14,TB_HPHC,3,FALSE),IF($G$3=$U$35,VLOOKUP($B$14,TBE_HPHC,3,FALSE),"Err")),J2)</f>
        <v>0.122</v>
      </c>
      <c r="G14" s="57">
        <f>IF($H$3="OUI",IF($G$3=$U$34,VLOOKUP($B$14,TB_HPHC,4,FALSE),IF($G$3=$U$35,VLOOKUP($B$14,TBE_HPHC,4,FALSE),"Err")),J3)</f>
        <v>8.0299999999999996E-2</v>
      </c>
      <c r="H14" s="58">
        <f>D$14*F$14</f>
        <v>976</v>
      </c>
      <c r="I14" s="58">
        <f>E$14*G$14</f>
        <v>481.79999999999995</v>
      </c>
      <c r="J14" s="58">
        <f>IF(C14*H14*I14&lt;&gt;0,SUM(C14,H14,I14),0)</f>
        <v>1590.1599999999999</v>
      </c>
      <c r="K14" s="58">
        <f>IF(N3*O3*P3&lt;&gt;0,SUM(D$14:E$14)*SUM(N$3:O$3)+P$3,0)</f>
        <v>443.59999999999997</v>
      </c>
      <c r="L14" s="121">
        <f>IF(J14*K14&lt;&gt;0,(1+D$3)*(SUM(H14:I14)+SUM(D$14:E$14)*SUM(N$3:O$3))+(1+C$3)*(C14+P$3),0)</f>
        <v>2415.9693000000002</v>
      </c>
      <c r="M14" s="172"/>
      <c r="N14" s="172"/>
      <c r="O14" s="172"/>
      <c r="P14" s="304"/>
      <c r="X14" s="13"/>
      <c r="Y14" s="13"/>
      <c r="Z14" s="13"/>
      <c r="AA14" s="13"/>
      <c r="AB14" s="13"/>
      <c r="AC14" s="10"/>
      <c r="AD14" s="10"/>
      <c r="AE14" s="10"/>
    </row>
    <row r="15" spans="1:31" ht="24.95" customHeight="1" thickBot="1" x14ac:dyDescent="0.3">
      <c r="A15" s="305" t="str">
        <f>MégaEnergie_Elec!A8</f>
        <v>Méga Energie</v>
      </c>
      <c r="B15" s="424"/>
      <c r="C15" s="306">
        <f>IF($G$3=$U$34,VLOOKUP($B$14,YG_Part_HPHC,2,FALSE)*12,IF($G$3=$U$35,VLOOKUP($B$14,YG_Pro_HPHC,2,FALSE)*12,"Err"))</f>
        <v>132.35999999999999</v>
      </c>
      <c r="D15" s="447"/>
      <c r="E15" s="447"/>
      <c r="F15" s="307">
        <f>IF($G$3=$U$34,VLOOKUP($B$14,YG_Part_HPHC,3,FALSE),IF($G$3=$U$35,VLOOKUP($B$14,YG_Pro_HPHC,3,FALSE),"Err"))</f>
        <v>0.10003999999999999</v>
      </c>
      <c r="G15" s="307">
        <f>IF($G$3=$U$34,VLOOKUP($B$14,YG_Part_HPHC,4,FALSE),IF($G$3=$U$35,VLOOKUP($B$14,YG_Pro_HPHC,4,FALSE),"Err"))</f>
        <v>6.5845999999999988E-2</v>
      </c>
      <c r="H15" s="308">
        <f>D$14*F15</f>
        <v>800.31999999999994</v>
      </c>
      <c r="I15" s="308">
        <f>E$14*G15</f>
        <v>395.07599999999991</v>
      </c>
      <c r="J15" s="308">
        <f>IF(C15*H15*I15&lt;&gt;0,SUM(C15,H15,I15),0)</f>
        <v>1327.7559999999999</v>
      </c>
      <c r="K15" s="308">
        <f>IF(N3*O3*P3&lt;&gt;0,SUM(D$14:E$14)*SUM(N$3:O$3)+P$3,0)</f>
        <v>443.59999999999997</v>
      </c>
      <c r="L15" s="309">
        <f>IF(J15*K15&lt;&gt;0,(1+D$3)*(SUM(H15:I15)+SUM(D$14:E$14)*SUM(N$3:O$3))+(1+C$3)*(C15+P$3),0)</f>
        <v>2101.0844999999995</v>
      </c>
      <c r="M15" s="310">
        <f>IF(L14*L15&lt;&gt;0,1-SUM(J15:K15)/SUM(J$14:K$14),0)</f>
        <v>0.1290240736370073</v>
      </c>
      <c r="N15" s="310">
        <f>IF(M15&lt;&gt;0,1-L15/L$14,0)</f>
        <v>0.13033476874064609</v>
      </c>
      <c r="O15" s="341">
        <f>IF(M15&lt;&gt;0,ROUND(L$14-L15,2),0)</f>
        <v>314.88</v>
      </c>
      <c r="P15" s="342">
        <f>O15/12</f>
        <v>26.24</v>
      </c>
      <c r="X15" s="13"/>
      <c r="Y15" s="13"/>
      <c r="Z15" s="13"/>
      <c r="AA15" s="13"/>
      <c r="AB15" s="13"/>
      <c r="AC15" s="10"/>
      <c r="AD15" s="10"/>
      <c r="AE15" s="10"/>
    </row>
    <row r="16" spans="1:31" ht="15.75" customHeight="1" x14ac:dyDescent="0.25">
      <c r="A16" s="422" t="str">
        <f>IF(C14*F14*G14&lt;&gt;0,CONCATENATE("Avant le ",TEXT(MégaEnergie_Elec!E5+1,"JJ/MM/AAAA"), " , le prix du kWh HT Heures Pleines ",MégaEnergie_Elec!A8," est inférieur de ",ROUND((1-F15/F14)*100,2),"% à celui d'EDF tarif réglementé ","et le prix du kWh HT Heures Creuses ",MégaEnergie_Elec!A8," est inférieur de ",ROUND((1-G15/G14)*100,2),"% à celui d'EDF tarif réglementé, pendant 12 mois ."),"Attention : Vous avez indiqué que votre tarif n'est pas réglementé. Il vous faut renseigner les tarifs de l'abonnement, du kWh HT Heures Pleines et du kWh HT Heures creuses.")</f>
        <v>Avant le 01/05/2021 , le prix du kWh HT Heures Pleines Méga Energie est inférieur de 18% à celui d'EDF tarif réglementé et le prix du kWh HT Heures Creuses Méga Energie est inférieur de 18% à celui d'EDF tarif réglementé, pendant 12 mois .</v>
      </c>
      <c r="B16" s="422"/>
      <c r="C16" s="422"/>
      <c r="D16" s="422"/>
      <c r="E16" s="422"/>
      <c r="F16" s="422"/>
      <c r="G16" s="422"/>
      <c r="H16" s="422"/>
      <c r="I16" s="422"/>
      <c r="J16" s="422"/>
      <c r="K16" s="422"/>
      <c r="L16" s="422"/>
      <c r="M16" s="422"/>
      <c r="N16" s="422"/>
      <c r="O16" s="422"/>
      <c r="P16" s="422"/>
      <c r="Q16" s="13"/>
      <c r="R16" s="13"/>
      <c r="S16" s="13"/>
      <c r="T16" s="13"/>
      <c r="AA16" s="13"/>
      <c r="AB16" s="10"/>
    </row>
    <row r="17" spans="1:28" ht="15.75" customHeight="1" x14ac:dyDescent="0.25">
      <c r="A17" s="84"/>
      <c r="B17" s="115"/>
      <c r="C17" s="115"/>
      <c r="D17" s="115"/>
      <c r="E17" s="115"/>
      <c r="F17" s="115"/>
      <c r="G17" s="115"/>
      <c r="H17" s="115"/>
      <c r="I17" s="115"/>
      <c r="J17" s="115"/>
      <c r="K17" s="115"/>
      <c r="L17" s="115"/>
      <c r="M17" s="115"/>
      <c r="N17" s="171"/>
      <c r="O17" s="171"/>
      <c r="P17" s="115"/>
      <c r="Q17" s="13"/>
      <c r="R17" s="13"/>
      <c r="S17" s="13"/>
      <c r="T17" s="13"/>
      <c r="U17" s="116"/>
      <c r="V17" s="117"/>
      <c r="AA17" s="10"/>
      <c r="AB17" s="10"/>
    </row>
    <row r="18" spans="1:28" ht="15.75" customHeight="1" x14ac:dyDescent="0.25">
      <c r="A18" s="288" t="s">
        <v>71</v>
      </c>
      <c r="B18" s="450" t="s">
        <v>70</v>
      </c>
      <c r="C18" s="450"/>
      <c r="D18" s="450"/>
      <c r="E18" s="450"/>
      <c r="F18" s="450"/>
      <c r="G18" s="450"/>
      <c r="H18" s="450"/>
      <c r="I18" s="450"/>
      <c r="J18" s="450"/>
      <c r="K18" s="450"/>
      <c r="L18" s="450"/>
      <c r="M18" s="450"/>
      <c r="N18" s="450"/>
      <c r="O18" s="450"/>
      <c r="P18" s="450"/>
      <c r="AA18" s="13"/>
      <c r="AB18" s="10"/>
    </row>
    <row r="19" spans="1:28" ht="15.75" customHeight="1" x14ac:dyDescent="0.25">
      <c r="A19" s="288" t="s">
        <v>73</v>
      </c>
      <c r="B19" s="450" t="s">
        <v>135</v>
      </c>
      <c r="C19" s="450"/>
      <c r="D19" s="450"/>
      <c r="E19" s="450"/>
      <c r="F19" s="450"/>
      <c r="G19" s="450"/>
      <c r="H19" s="450"/>
      <c r="I19" s="450"/>
      <c r="J19" s="450"/>
      <c r="K19" s="450"/>
      <c r="L19" s="450"/>
      <c r="M19" s="450"/>
      <c r="N19" s="450"/>
      <c r="O19" s="450"/>
      <c r="P19" s="450"/>
      <c r="U19" s="110" t="s">
        <v>114</v>
      </c>
      <c r="V19" s="108" t="e">
        <f>#REF!/F14-1</f>
        <v>#REF!</v>
      </c>
      <c r="AA19" s="13"/>
      <c r="AB19" s="10"/>
    </row>
    <row r="20" spans="1:28" ht="15.75" customHeight="1" x14ac:dyDescent="0.25">
      <c r="A20" s="288" t="s">
        <v>100</v>
      </c>
      <c r="B20" s="450" t="s">
        <v>169</v>
      </c>
      <c r="C20" s="450"/>
      <c r="D20" s="450"/>
      <c r="E20" s="450"/>
      <c r="F20" s="450"/>
      <c r="G20" s="450"/>
      <c r="H20" s="450"/>
      <c r="I20" s="450"/>
      <c r="J20" s="450"/>
      <c r="K20" s="450"/>
      <c r="L20" s="450"/>
      <c r="M20" s="450"/>
      <c r="N20" s="450"/>
      <c r="O20" s="450"/>
      <c r="P20" s="450"/>
      <c r="U20" s="116"/>
      <c r="V20" s="287"/>
      <c r="AA20" s="13"/>
      <c r="AB20" s="10"/>
    </row>
    <row r="21" spans="1:28" ht="5.25" customHeight="1" x14ac:dyDescent="0.25"/>
    <row r="22" spans="1:28" x14ac:dyDescent="0.25">
      <c r="A22" s="401" t="str">
        <f>'1a_Electricité_Comparatifs_Base'!A22</f>
        <v>©T-GAS - V1.5 du 07/03/2021</v>
      </c>
      <c r="B22" s="401"/>
      <c r="C22" s="86"/>
      <c r="D22" s="86"/>
      <c r="E22" s="86"/>
      <c r="F22" s="86"/>
      <c r="G22" s="86"/>
      <c r="H22" s="86"/>
      <c r="I22" s="86"/>
      <c r="J22" s="86"/>
      <c r="K22" s="86"/>
      <c r="L22" s="86"/>
      <c r="M22" s="86"/>
      <c r="N22" s="87"/>
      <c r="O22" s="87" t="s">
        <v>74</v>
      </c>
      <c r="P22" s="88">
        <f ca="1">TODAY()</f>
        <v>44275</v>
      </c>
      <c r="U22" s="110" t="s">
        <v>114</v>
      </c>
      <c r="V22" s="108" t="e">
        <f>#REF!/#REF!-1</f>
        <v>#REF!</v>
      </c>
      <c r="AA22" s="10"/>
      <c r="AB22" s="10"/>
    </row>
    <row r="23" spans="1:28" ht="19.5" customHeight="1" x14ac:dyDescent="0.25">
      <c r="A23" s="10"/>
      <c r="B23" s="10"/>
      <c r="C23" s="10"/>
      <c r="D23" s="51"/>
      <c r="E23" s="10"/>
      <c r="F23" s="10"/>
      <c r="G23" s="51"/>
      <c r="H23" s="51"/>
      <c r="I23" s="10"/>
      <c r="J23" s="10"/>
      <c r="K23" s="10"/>
      <c r="L23" s="10"/>
      <c r="M23" s="10"/>
      <c r="N23" s="10"/>
      <c r="O23" s="10"/>
      <c r="Q23" s="13"/>
      <c r="R23" s="13"/>
      <c r="S23" s="13"/>
      <c r="T23" s="13"/>
      <c r="U23" s="110" t="s">
        <v>101</v>
      </c>
      <c r="V23" s="109" t="e">
        <f>#REF!/#REF! -1</f>
        <v>#REF!</v>
      </c>
      <c r="AA23" s="10"/>
      <c r="AB23" s="10"/>
    </row>
    <row r="24" spans="1:28" ht="15.75" thickBot="1" x14ac:dyDescent="0.3">
      <c r="A24" s="10"/>
      <c r="B24" s="10"/>
      <c r="C24" s="10"/>
      <c r="D24" s="51"/>
      <c r="E24" s="10"/>
      <c r="F24" s="10"/>
      <c r="G24" s="51"/>
      <c r="H24" s="51"/>
      <c r="I24" s="10"/>
      <c r="J24" s="10"/>
      <c r="K24" s="10"/>
      <c r="L24" s="10"/>
      <c r="M24" s="10"/>
      <c r="N24" s="10"/>
      <c r="O24" s="10"/>
      <c r="AA24" s="10"/>
      <c r="AB24" s="10"/>
    </row>
    <row r="25" spans="1:28" x14ac:dyDescent="0.25">
      <c r="A25" s="10"/>
      <c r="B25" s="10"/>
      <c r="C25" s="10"/>
      <c r="D25" s="10"/>
      <c r="E25" s="10"/>
      <c r="F25" s="10"/>
      <c r="G25" s="10"/>
      <c r="H25" s="10"/>
      <c r="I25" s="10"/>
      <c r="J25" s="10"/>
      <c r="K25" s="10"/>
      <c r="L25" s="10"/>
      <c r="M25" s="10"/>
      <c r="N25" s="10"/>
      <c r="O25" s="10"/>
      <c r="U25" s="448" t="s">
        <v>65</v>
      </c>
      <c r="V25" s="120" t="s">
        <v>35</v>
      </c>
      <c r="AA25" s="10"/>
      <c r="AB25" s="10"/>
    </row>
    <row r="26" spans="1:28" ht="15.75" customHeight="1" thickBot="1" x14ac:dyDescent="0.3">
      <c r="A26" s="10"/>
      <c r="B26" s="10"/>
      <c r="C26" s="10"/>
      <c r="D26" s="10"/>
      <c r="E26" s="10"/>
      <c r="F26" s="10"/>
      <c r="G26" s="10"/>
      <c r="H26" s="10"/>
      <c r="I26" s="10"/>
      <c r="J26" s="10"/>
      <c r="K26" s="10"/>
      <c r="L26" s="10"/>
      <c r="M26" s="10"/>
      <c r="N26" s="10"/>
      <c r="O26" s="10"/>
      <c r="U26" s="449"/>
      <c r="V26" s="119" t="s">
        <v>36</v>
      </c>
      <c r="AA26" s="10"/>
      <c r="AB26" s="10"/>
    </row>
    <row r="27" spans="1:28" x14ac:dyDescent="0.25">
      <c r="A27" s="10"/>
      <c r="B27" s="10"/>
      <c r="C27" s="10"/>
      <c r="D27" s="10"/>
      <c r="E27" s="10"/>
      <c r="F27" s="10"/>
      <c r="G27" s="10"/>
      <c r="H27" s="51"/>
      <c r="I27" s="10"/>
      <c r="J27" s="10"/>
      <c r="K27" s="10"/>
      <c r="L27" s="10"/>
      <c r="M27" s="10"/>
      <c r="N27" s="10"/>
      <c r="O27" s="10"/>
      <c r="AA27" s="10"/>
      <c r="AB27" s="10"/>
    </row>
    <row r="28" spans="1:28" ht="15.75" thickBot="1" x14ac:dyDescent="0.3">
      <c r="A28" s="10"/>
      <c r="B28" s="10"/>
      <c r="C28" s="10"/>
      <c r="D28" s="10"/>
      <c r="E28" s="10"/>
      <c r="F28" s="10"/>
      <c r="G28" s="10"/>
      <c r="H28" s="51"/>
      <c r="I28" s="10"/>
      <c r="J28" s="10"/>
      <c r="K28" s="10"/>
      <c r="L28" s="10"/>
      <c r="M28" s="10"/>
      <c r="N28" s="10"/>
      <c r="O28" s="10"/>
      <c r="AA28" s="10"/>
      <c r="AB28" s="10"/>
    </row>
    <row r="29" spans="1:28" x14ac:dyDescent="0.25">
      <c r="A29" s="10"/>
      <c r="B29" s="10"/>
      <c r="C29" s="10"/>
      <c r="D29" s="10"/>
      <c r="E29" s="10"/>
      <c r="F29" s="10"/>
      <c r="G29" s="10"/>
      <c r="H29" s="10"/>
      <c r="I29" s="10"/>
      <c r="J29" s="10"/>
      <c r="K29" s="10"/>
      <c r="L29" s="10"/>
      <c r="M29" s="10"/>
      <c r="N29" s="10"/>
      <c r="O29" s="10"/>
      <c r="U29" s="76" t="s">
        <v>37</v>
      </c>
      <c r="V29" s="43">
        <v>5.5E-2</v>
      </c>
      <c r="AA29" s="10"/>
      <c r="AB29" s="10"/>
    </row>
    <row r="30" spans="1:28" x14ac:dyDescent="0.25">
      <c r="A30" s="10"/>
      <c r="B30" s="10"/>
      <c r="C30" s="10"/>
      <c r="D30" s="10"/>
      <c r="E30" s="10"/>
      <c r="F30" s="10"/>
      <c r="G30" s="10"/>
      <c r="H30" s="10"/>
      <c r="I30" s="10"/>
      <c r="J30" s="10"/>
      <c r="K30" s="10"/>
      <c r="L30" s="10"/>
      <c r="M30" s="10"/>
      <c r="N30" s="10"/>
      <c r="O30" s="10"/>
      <c r="U30" s="77" t="s">
        <v>39</v>
      </c>
      <c r="V30" s="49">
        <v>0.2</v>
      </c>
      <c r="AA30" s="10"/>
      <c r="AB30" s="10"/>
    </row>
    <row r="31" spans="1:28" ht="15.75" thickBot="1" x14ac:dyDescent="0.3">
      <c r="A31" s="10"/>
      <c r="B31" s="10"/>
      <c r="C31" s="10"/>
      <c r="D31" s="10"/>
      <c r="E31" s="10"/>
      <c r="F31" s="10"/>
      <c r="G31" s="10"/>
      <c r="H31" s="10"/>
      <c r="I31" s="10"/>
      <c r="J31" s="10"/>
      <c r="K31" s="10"/>
      <c r="L31" s="10"/>
      <c r="M31" s="10"/>
      <c r="N31" s="10"/>
      <c r="O31" s="10"/>
      <c r="U31" s="78" t="s">
        <v>40</v>
      </c>
      <c r="V31" s="45">
        <v>0.1</v>
      </c>
      <c r="AA31" s="10"/>
      <c r="AB31" s="10"/>
    </row>
    <row r="32" spans="1:28" x14ac:dyDescent="0.25">
      <c r="A32" s="10"/>
      <c r="B32" s="10"/>
      <c r="C32" s="10"/>
      <c r="D32" s="10"/>
      <c r="E32" s="10"/>
      <c r="F32" s="10"/>
      <c r="G32" s="10"/>
      <c r="H32" s="10"/>
      <c r="I32" s="10"/>
      <c r="J32" s="10"/>
      <c r="K32" s="10"/>
      <c r="L32" s="10"/>
      <c r="M32" s="10"/>
      <c r="N32" s="10"/>
      <c r="O32" s="10"/>
      <c r="AA32" s="10"/>
      <c r="AB32" s="10"/>
    </row>
    <row r="33" spans="1:39" x14ac:dyDescent="0.25">
      <c r="A33" s="10"/>
      <c r="B33" s="10"/>
      <c r="C33" s="10"/>
      <c r="D33" s="10"/>
      <c r="E33" s="10"/>
      <c r="F33" s="10"/>
      <c r="G33" s="10"/>
      <c r="H33" s="10"/>
      <c r="I33" s="10"/>
      <c r="J33" s="10"/>
      <c r="K33" s="10"/>
      <c r="L33" s="10"/>
      <c r="M33" s="10"/>
      <c r="N33" s="10"/>
      <c r="O33" s="10"/>
      <c r="U33" s="79" t="s">
        <v>61</v>
      </c>
      <c r="AA33" s="10"/>
      <c r="AB33" s="10"/>
      <c r="AL33" s="33">
        <v>10.3</v>
      </c>
      <c r="AM33" s="34">
        <f>AL33*12</f>
        <v>123.60000000000001</v>
      </c>
    </row>
    <row r="34" spans="1:39" x14ac:dyDescent="0.25">
      <c r="A34" s="10"/>
      <c r="B34" s="10"/>
      <c r="C34" s="10"/>
      <c r="D34" s="10"/>
      <c r="E34" s="10"/>
      <c r="F34" s="10"/>
      <c r="G34" s="10"/>
      <c r="H34" s="10"/>
      <c r="I34" s="10"/>
      <c r="J34" s="10"/>
      <c r="K34" s="10"/>
      <c r="L34" s="10"/>
      <c r="M34" s="10"/>
      <c r="N34" s="10"/>
      <c r="O34" s="10"/>
      <c r="R34" s="75"/>
      <c r="S34" s="118"/>
      <c r="T34" s="118"/>
      <c r="U34" s="80" t="s">
        <v>62</v>
      </c>
      <c r="AA34" s="10"/>
      <c r="AB34" s="10"/>
      <c r="AL34" s="33">
        <v>12.61</v>
      </c>
      <c r="AM34" s="34">
        <f t="shared" ref="AM34:AM41" si="0">AL34*12</f>
        <v>151.32</v>
      </c>
    </row>
    <row r="35" spans="1:39" x14ac:dyDescent="0.25">
      <c r="A35" s="10"/>
      <c r="B35" s="10"/>
      <c r="C35" s="10"/>
      <c r="D35" s="10"/>
      <c r="E35" s="10"/>
      <c r="F35" s="10"/>
      <c r="G35" s="10"/>
      <c r="H35" s="10"/>
      <c r="I35" s="10"/>
      <c r="J35" s="10"/>
      <c r="K35" s="10"/>
      <c r="L35" s="10"/>
      <c r="M35" s="10"/>
      <c r="N35" s="10"/>
      <c r="O35" s="10"/>
      <c r="R35" s="36"/>
      <c r="S35" s="36"/>
      <c r="T35" s="36"/>
      <c r="U35" s="80" t="s">
        <v>63</v>
      </c>
      <c r="AA35" s="10"/>
      <c r="AB35" s="10"/>
      <c r="AL35" s="33">
        <v>14.97</v>
      </c>
      <c r="AM35" s="34">
        <f t="shared" si="0"/>
        <v>179.64000000000001</v>
      </c>
    </row>
    <row r="36" spans="1:39" x14ac:dyDescent="0.25">
      <c r="A36" s="10"/>
      <c r="B36" s="10"/>
      <c r="C36" s="10"/>
      <c r="D36" s="10"/>
      <c r="E36" s="10"/>
      <c r="F36" s="10"/>
      <c r="G36" s="10"/>
      <c r="H36" s="10"/>
      <c r="I36" s="10"/>
      <c r="J36" s="10"/>
      <c r="K36" s="10"/>
      <c r="L36" s="10"/>
      <c r="M36" s="10"/>
      <c r="N36" s="10"/>
      <c r="O36" s="10"/>
      <c r="R36" s="37"/>
      <c r="S36" s="37"/>
      <c r="T36" s="37"/>
      <c r="AA36" s="10"/>
      <c r="AB36" s="10"/>
      <c r="AL36" s="33">
        <v>16.78</v>
      </c>
      <c r="AM36" s="34">
        <f t="shared" si="0"/>
        <v>201.36</v>
      </c>
    </row>
    <row r="37" spans="1:39" x14ac:dyDescent="0.25">
      <c r="R37" s="37"/>
      <c r="S37" s="37"/>
      <c r="T37" s="37"/>
      <c r="U37" s="79" t="s">
        <v>66</v>
      </c>
      <c r="AL37" s="33">
        <v>18.64</v>
      </c>
      <c r="AM37" s="34">
        <f t="shared" si="0"/>
        <v>223.68</v>
      </c>
    </row>
    <row r="38" spans="1:39" x14ac:dyDescent="0.25">
      <c r="R38" s="37"/>
      <c r="S38" s="37"/>
      <c r="T38" s="37"/>
      <c r="U38" s="80" t="str">
        <f>IF($H$3="NON","non réglementé","réglementé")</f>
        <v>réglementé</v>
      </c>
      <c r="AL38" s="33">
        <v>22.89</v>
      </c>
      <c r="AM38" s="34">
        <f t="shared" si="0"/>
        <v>274.68</v>
      </c>
    </row>
    <row r="39" spans="1:39" x14ac:dyDescent="0.25">
      <c r="R39" s="37"/>
      <c r="S39" s="37"/>
      <c r="T39" s="37"/>
      <c r="AL39" s="33">
        <v>26.67</v>
      </c>
      <c r="AM39" s="34">
        <f t="shared" si="0"/>
        <v>320.04000000000002</v>
      </c>
    </row>
    <row r="40" spans="1:39" ht="15" customHeight="1" x14ac:dyDescent="0.25">
      <c r="R40" s="37"/>
      <c r="S40" s="37"/>
      <c r="T40" s="37"/>
      <c r="U40" s="445" t="s">
        <v>69</v>
      </c>
      <c r="V40" s="61">
        <f>EDF!B23</f>
        <v>6</v>
      </c>
      <c r="AL40" s="33">
        <v>30.19</v>
      </c>
      <c r="AM40" s="34">
        <f t="shared" si="0"/>
        <v>362.28000000000003</v>
      </c>
    </row>
    <row r="41" spans="1:39" x14ac:dyDescent="0.25">
      <c r="R41" s="37"/>
      <c r="S41" s="37"/>
      <c r="T41" s="37"/>
      <c r="U41" s="445"/>
      <c r="V41" s="61">
        <f>EDF!B24</f>
        <v>9</v>
      </c>
      <c r="AL41" s="33"/>
      <c r="AM41" s="34">
        <f t="shared" si="0"/>
        <v>0</v>
      </c>
    </row>
    <row r="42" spans="1:39" x14ac:dyDescent="0.25">
      <c r="R42" s="37"/>
      <c r="S42" s="37"/>
      <c r="T42" s="37"/>
      <c r="U42" s="445"/>
      <c r="V42" s="61">
        <f>EDF!B25</f>
        <v>12</v>
      </c>
    </row>
    <row r="43" spans="1:39" x14ac:dyDescent="0.25">
      <c r="R43" s="37"/>
      <c r="S43" s="37"/>
      <c r="T43" s="37"/>
      <c r="U43" s="445"/>
      <c r="V43" s="61">
        <f>EDF!B26</f>
        <v>15</v>
      </c>
    </row>
    <row r="44" spans="1:39" x14ac:dyDescent="0.25">
      <c r="U44" s="445"/>
      <c r="V44" s="61">
        <f>EDF!B27</f>
        <v>18</v>
      </c>
    </row>
    <row r="45" spans="1:39" x14ac:dyDescent="0.25">
      <c r="U45" s="445"/>
      <c r="V45" s="61">
        <f>EDF!B28</f>
        <v>24</v>
      </c>
    </row>
    <row r="46" spans="1:39" x14ac:dyDescent="0.25">
      <c r="U46" s="445"/>
      <c r="V46" s="61">
        <f>EDF!B29</f>
        <v>30</v>
      </c>
    </row>
    <row r="47" spans="1:39" x14ac:dyDescent="0.25">
      <c r="U47" s="445"/>
      <c r="V47" s="61">
        <f>EDF!B30</f>
        <v>36</v>
      </c>
    </row>
    <row r="48" spans="1:39" x14ac:dyDescent="0.25">
      <c r="U48" s="83"/>
    </row>
  </sheetData>
  <sheetProtection algorithmName="SHA-512" hashValue="xCxIcOy83xyzD4dFS4aU1h34oTFVpWeve/XvpuxaMR1bc88T3Bl37P52KpeD4ZZRFnnOoMs6GwdqIUvPkmUPTg==" saltValue="g12M8JnwzqNKgn9iR0yCEw==" spinCount="100000" sheet="1" objects="1" scenarios="1" selectLockedCells="1"/>
  <mergeCells count="35">
    <mergeCell ref="L12:L13"/>
    <mergeCell ref="F12:G12"/>
    <mergeCell ref="L8:P8"/>
    <mergeCell ref="M12:N12"/>
    <mergeCell ref="O12:P12"/>
    <mergeCell ref="M9:P9"/>
    <mergeCell ref="J12:J13"/>
    <mergeCell ref="B12:B13"/>
    <mergeCell ref="A6:C6"/>
    <mergeCell ref="A12:A13"/>
    <mergeCell ref="D2:E2"/>
    <mergeCell ref="D3:E3"/>
    <mergeCell ref="A8:D8"/>
    <mergeCell ref="C1:E1"/>
    <mergeCell ref="A22:B22"/>
    <mergeCell ref="B18:P18"/>
    <mergeCell ref="B19:P19"/>
    <mergeCell ref="H1:H2"/>
    <mergeCell ref="F1:F2"/>
    <mergeCell ref="G1:G2"/>
    <mergeCell ref="C12:C13"/>
    <mergeCell ref="D12:E12"/>
    <mergeCell ref="B10:F10"/>
    <mergeCell ref="N1:P1"/>
    <mergeCell ref="L6:P6"/>
    <mergeCell ref="L7:P7"/>
    <mergeCell ref="B14:B15"/>
    <mergeCell ref="H12:I12"/>
    <mergeCell ref="K12:K13"/>
    <mergeCell ref="U40:U47"/>
    <mergeCell ref="D14:D15"/>
    <mergeCell ref="E14:E15"/>
    <mergeCell ref="U25:U26"/>
    <mergeCell ref="A16:P16"/>
    <mergeCell ref="B20:P20"/>
  </mergeCells>
  <dataValidations xWindow="114" yWindow="356" count="3">
    <dataValidation type="list" allowBlank="1" showInputMessage="1" showErrorMessage="1" error="Veuillez sélectionner la réponse dans la liste." sqref="G3" xr:uid="{FB987A59-C893-4FF6-A8B6-E4D94F228EB6}">
      <formula1>$U$34:$U$35</formula1>
    </dataValidation>
    <dataValidation type="list" allowBlank="1" showInputMessage="1" showErrorMessage="1" error="Veuillez sélectionner la réponse dans la liste." sqref="H3 F3" xr:uid="{7868412C-3A77-4C31-9E8E-FA487FA17761}">
      <formula1>$V$25:$V$26</formula1>
    </dataValidation>
    <dataValidation type="list" allowBlank="1" showInputMessage="1" showErrorMessage="1" error="Veuillez sélectionner la réponse dans la liste." promptTitle="Sélectionnez votre puissance" sqref="B14:B15" xr:uid="{3D92E4D0-83EC-404C-9782-929262C0D6F4}">
      <formula1>$V$40:$V$47</formula1>
    </dataValidation>
  </dataValidations>
  <printOptions horizontalCentered="1"/>
  <pageMargins left="0.19685039370078741" right="0.19685039370078741" top="0.19685039370078741" bottom="0.19685039370078741" header="0.31496062992125984" footer="0.31496062992125984"/>
  <pageSetup paperSize="9" scale="61" orientation="landscape" r:id="rId1"/>
  <ignoredErrors>
    <ignoredError sqref="A18:A20"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D4A81-16F7-4D9D-8774-A1D71F4C2834}">
  <sheetPr codeName="Feuil9">
    <tabColor rgb="FFFF33CC"/>
    <pageSetUpPr fitToPage="1"/>
  </sheetPr>
  <dimension ref="A1:AJ48"/>
  <sheetViews>
    <sheetView showGridLines="0" showRowColHeaders="0" showZeros="0" zoomScale="94" zoomScaleNormal="85" zoomScaleSheetLayoutView="88" workbookViewId="0">
      <pane ySplit="3" topLeftCell="A4" activePane="bottomLeft" state="frozen"/>
      <selection activeCell="H1" sqref="H1"/>
      <selection pane="bottomLeft" activeCell="I9" sqref="I9"/>
    </sheetView>
  </sheetViews>
  <sheetFormatPr baseColWidth="10" defaultRowHeight="15" x14ac:dyDescent="0.25"/>
  <cols>
    <col min="1" max="1" width="23.7109375" style="175" customWidth="1"/>
    <col min="2" max="2" width="18.7109375" style="175" customWidth="1"/>
    <col min="3" max="3" width="14.42578125" style="175" customWidth="1"/>
    <col min="4" max="4" width="13.85546875" style="175" customWidth="1"/>
    <col min="5" max="5" width="15" style="175" customWidth="1"/>
    <col min="6" max="7" width="16.7109375" style="175" customWidth="1"/>
    <col min="8" max="8" width="16.85546875" style="175" customWidth="1"/>
    <col min="9" max="9" width="14.7109375" style="175" customWidth="1"/>
    <col min="10" max="10" width="16.7109375" style="175" customWidth="1"/>
    <col min="11" max="12" width="13.85546875" style="175" customWidth="1"/>
    <col min="13" max="13" width="14.28515625" style="175" customWidth="1"/>
    <col min="14" max="14" width="14.5703125" style="175" customWidth="1"/>
    <col min="15" max="15" width="15.28515625" style="175" customWidth="1"/>
    <col min="16" max="16" width="18.7109375" style="175" customWidth="1"/>
    <col min="17" max="20" width="18.7109375" style="175" hidden="1" customWidth="1"/>
    <col min="21" max="25" width="18.7109375" style="175" customWidth="1"/>
    <col min="26" max="26" width="16.7109375" style="175" customWidth="1"/>
    <col min="27" max="28" width="18.7109375" style="175" customWidth="1"/>
    <col min="29" max="29" width="3.140625" style="175" customWidth="1"/>
    <col min="30" max="32" width="16.7109375" style="175" customWidth="1"/>
    <col min="33" max="33" width="15.28515625" style="175" customWidth="1"/>
    <col min="34" max="34" width="11.42578125" style="175"/>
    <col min="35" max="35" width="19.28515625" style="175" customWidth="1"/>
    <col min="36" max="36" width="14.7109375" style="175" customWidth="1"/>
    <col min="37" max="16384" width="11.42578125" style="175"/>
  </cols>
  <sheetData>
    <row r="1" spans="1:28" ht="45" customHeight="1" thickBot="1" x14ac:dyDescent="0.3">
      <c r="A1" s="176"/>
      <c r="B1" s="176"/>
      <c r="C1" s="451" t="s">
        <v>19</v>
      </c>
      <c r="D1" s="452"/>
      <c r="E1" s="468"/>
      <c r="F1" s="469" t="s">
        <v>34</v>
      </c>
      <c r="G1" s="347" t="s">
        <v>64</v>
      </c>
      <c r="H1" s="348" t="s">
        <v>35</v>
      </c>
      <c r="L1" s="471" t="s">
        <v>48</v>
      </c>
      <c r="M1" s="472"/>
      <c r="T1" s="177"/>
      <c r="U1" s="177"/>
      <c r="V1" s="177"/>
      <c r="W1" s="177"/>
      <c r="X1" s="177"/>
      <c r="Y1" s="177"/>
      <c r="Z1" s="177"/>
      <c r="AA1" s="177"/>
    </row>
    <row r="2" spans="1:28" ht="35.1" customHeight="1" x14ac:dyDescent="0.25">
      <c r="A2" s="178"/>
      <c r="B2" s="178"/>
      <c r="C2" s="290" t="s">
        <v>20</v>
      </c>
      <c r="D2" s="465" t="s">
        <v>21</v>
      </c>
      <c r="E2" s="473"/>
      <c r="F2" s="470"/>
      <c r="G2" s="179" t="s">
        <v>224</v>
      </c>
      <c r="H2" s="349"/>
      <c r="L2" s="354" t="s">
        <v>226</v>
      </c>
      <c r="M2" s="355" t="s">
        <v>232</v>
      </c>
      <c r="T2" s="177"/>
      <c r="U2" s="177"/>
      <c r="V2" s="177"/>
      <c r="W2" s="177"/>
      <c r="X2" s="177"/>
      <c r="Y2" s="177"/>
      <c r="Z2" s="177"/>
      <c r="AA2" s="177"/>
    </row>
    <row r="3" spans="1:28" ht="35.1" customHeight="1" thickBot="1" x14ac:dyDescent="0.3">
      <c r="A3" s="177"/>
      <c r="B3" s="177"/>
      <c r="C3" s="350">
        <v>5.5E-2</v>
      </c>
      <c r="D3" s="474">
        <f>IF(F3="OUI",S29,S28)</f>
        <v>0.2</v>
      </c>
      <c r="E3" s="475"/>
      <c r="F3" s="351" t="s">
        <v>36</v>
      </c>
      <c r="G3" s="352" t="s">
        <v>225</v>
      </c>
      <c r="H3" s="353"/>
      <c r="L3" s="356">
        <v>8.4499999999999992E-3</v>
      </c>
      <c r="M3" s="357">
        <v>30.36</v>
      </c>
      <c r="T3" s="177"/>
      <c r="U3" s="177"/>
      <c r="V3" s="177"/>
      <c r="W3" s="177"/>
      <c r="X3" s="177"/>
      <c r="Y3" s="177"/>
      <c r="Z3" s="177"/>
      <c r="AA3" s="177"/>
    </row>
    <row r="4" spans="1:28" x14ac:dyDescent="0.25">
      <c r="A4" s="177"/>
      <c r="B4" s="177"/>
      <c r="C4" s="177"/>
      <c r="D4" s="177"/>
      <c r="E4" s="177"/>
      <c r="F4" s="177"/>
      <c r="G4" s="180"/>
      <c r="J4" s="181"/>
      <c r="K4" s="181"/>
      <c r="L4" s="181"/>
      <c r="M4" s="181"/>
      <c r="R4" s="177"/>
      <c r="S4" s="177"/>
      <c r="T4" s="177"/>
      <c r="U4" s="177"/>
      <c r="V4" s="177"/>
      <c r="W4" s="177"/>
      <c r="X4" s="177"/>
      <c r="Y4" s="177"/>
      <c r="Z4" s="177"/>
      <c r="AA4" s="177"/>
      <c r="AB4" s="177"/>
    </row>
    <row r="5" spans="1:28" ht="18.75" x14ac:dyDescent="0.25">
      <c r="A5" s="478" t="str">
        <f>CONCATENATE("Attention, date limite : ",TEXT(MégaEnergie_Elec!E5,"JJ/MM/AAAA"))</f>
        <v>Attention, date limite : 30/04/2021</v>
      </c>
      <c r="B5" s="478"/>
      <c r="C5" s="177"/>
      <c r="D5" s="177"/>
      <c r="E5" s="177"/>
      <c r="F5" s="177"/>
      <c r="G5" s="180"/>
      <c r="H5" s="180"/>
      <c r="M5" s="181"/>
      <c r="R5" s="177"/>
      <c r="S5" s="177"/>
      <c r="T5" s="177"/>
      <c r="U5" s="177"/>
      <c r="V5" s="177"/>
      <c r="W5" s="177"/>
      <c r="X5" s="177"/>
      <c r="Y5" s="177"/>
      <c r="Z5" s="177"/>
      <c r="AA5" s="177"/>
      <c r="AB5" s="177"/>
    </row>
    <row r="6" spans="1:28" ht="15.75" x14ac:dyDescent="0.25">
      <c r="I6" s="442" t="s">
        <v>238</v>
      </c>
      <c r="J6" s="442"/>
      <c r="K6" s="442"/>
      <c r="L6" s="442"/>
      <c r="M6" s="442"/>
      <c r="N6" s="177"/>
      <c r="O6" s="177"/>
      <c r="R6" s="177"/>
      <c r="S6" s="177"/>
      <c r="T6" s="177"/>
      <c r="U6" s="177"/>
      <c r="V6" s="177"/>
      <c r="W6" s="177"/>
      <c r="X6" s="177"/>
      <c r="Y6" s="177"/>
    </row>
    <row r="7" spans="1:28" ht="15.75" x14ac:dyDescent="0.25">
      <c r="A7" s="476" t="s">
        <v>138</v>
      </c>
      <c r="B7" s="476"/>
      <c r="C7" s="476"/>
      <c r="D7" s="476"/>
      <c r="E7" s="180"/>
      <c r="F7" s="180"/>
      <c r="G7" s="180"/>
      <c r="I7" s="443" t="s">
        <v>239</v>
      </c>
      <c r="J7" s="443"/>
      <c r="K7" s="443"/>
      <c r="L7" s="443"/>
      <c r="M7" s="443"/>
      <c r="N7" s="177"/>
      <c r="O7" s="177"/>
      <c r="R7" s="177"/>
      <c r="S7" s="177"/>
      <c r="T7" s="177"/>
      <c r="U7" s="177"/>
      <c r="V7" s="177"/>
      <c r="W7" s="177"/>
      <c r="X7" s="177"/>
      <c r="Y7" s="177"/>
    </row>
    <row r="8" spans="1:28" ht="15.75" x14ac:dyDescent="0.25">
      <c r="A8" s="182" t="s">
        <v>139</v>
      </c>
      <c r="B8" s="477" t="str">
        <f>CONCATENATE("Tarif ",B14," - Zone tarifaire ",C14," (",J9,")")</f>
        <v>Tarif B1 (&lt; 30 MWh) - Zone tarifaire 1 (LOCALITE)</v>
      </c>
      <c r="C8" s="477"/>
      <c r="D8" s="477"/>
      <c r="E8" s="477"/>
      <c r="F8" s="477"/>
      <c r="G8" s="477"/>
      <c r="I8" s="443" t="s">
        <v>241</v>
      </c>
      <c r="J8" s="443"/>
      <c r="K8" s="443"/>
      <c r="L8" s="443"/>
      <c r="M8" s="443"/>
      <c r="N8" s="177"/>
      <c r="O8" s="177"/>
      <c r="R8" s="177"/>
      <c r="S8" s="177"/>
      <c r="T8" s="177"/>
      <c r="U8" s="177"/>
      <c r="V8" s="177"/>
      <c r="W8" s="177"/>
      <c r="X8" s="177"/>
      <c r="Y8" s="177"/>
    </row>
    <row r="9" spans="1:28" ht="15.75" x14ac:dyDescent="0.25">
      <c r="A9" s="182" t="s">
        <v>140</v>
      </c>
      <c r="B9" s="467" t="s">
        <v>183</v>
      </c>
      <c r="C9" s="467"/>
      <c r="D9" s="467"/>
      <c r="E9" s="467"/>
      <c r="F9" s="177"/>
      <c r="G9" s="180"/>
      <c r="H9" s="180"/>
      <c r="I9" s="343" t="s">
        <v>240</v>
      </c>
      <c r="J9" s="444" t="s">
        <v>127</v>
      </c>
      <c r="K9" s="444"/>
      <c r="L9" s="444"/>
      <c r="M9" s="444"/>
      <c r="P9" s="177"/>
      <c r="Q9" s="177"/>
      <c r="R9" s="177"/>
      <c r="S9" s="177"/>
      <c r="T9" s="177"/>
      <c r="U9" s="177"/>
      <c r="V9" s="177"/>
      <c r="W9" s="177"/>
      <c r="X9" s="177"/>
      <c r="Y9" s="177"/>
      <c r="Z9" s="177"/>
      <c r="AA9" s="177"/>
      <c r="AB9" s="177"/>
    </row>
    <row r="10" spans="1:28" x14ac:dyDescent="0.25">
      <c r="A10" s="177"/>
      <c r="B10" s="177"/>
      <c r="C10" s="177"/>
      <c r="D10" s="177"/>
      <c r="E10" s="177"/>
      <c r="F10" s="177"/>
      <c r="G10" s="180"/>
      <c r="H10" s="180"/>
      <c r="P10" s="177"/>
      <c r="Q10" s="177"/>
      <c r="R10" s="177"/>
      <c r="S10" s="177"/>
      <c r="T10" s="177"/>
      <c r="U10" s="177"/>
      <c r="V10" s="177"/>
      <c r="W10" s="177"/>
      <c r="X10" s="177"/>
      <c r="Y10" s="177"/>
      <c r="Z10" s="177"/>
      <c r="AA10" s="177"/>
      <c r="AB10" s="177"/>
    </row>
    <row r="11" spans="1:28" ht="3.95" customHeight="1" thickBot="1" x14ac:dyDescent="0.3">
      <c r="A11" s="177"/>
      <c r="B11" s="177"/>
      <c r="C11" s="177"/>
      <c r="D11" s="177"/>
      <c r="E11" s="177"/>
      <c r="F11" s="177"/>
      <c r="G11" s="177"/>
      <c r="H11" s="177"/>
      <c r="I11" s="177"/>
      <c r="J11" s="177"/>
      <c r="K11" s="177"/>
      <c r="L11" s="177"/>
      <c r="M11" s="177"/>
      <c r="N11" s="177"/>
      <c r="O11" s="177"/>
      <c r="R11" s="177"/>
      <c r="S11" s="177"/>
      <c r="T11" s="177"/>
      <c r="U11" s="177"/>
      <c r="V11" s="177"/>
      <c r="W11" s="177"/>
      <c r="X11" s="177"/>
      <c r="Y11" s="174"/>
      <c r="Z11" s="177"/>
      <c r="AA11" s="177"/>
      <c r="AB11" s="177"/>
    </row>
    <row r="12" spans="1:28" ht="55.5" customHeight="1" x14ac:dyDescent="0.25">
      <c r="A12" s="463" t="str">
        <f>'1b_Electricité_Comparatifs_HPHC'!A12:A13</f>
        <v>COMPARATIF AVANT LE 01/05/2021</v>
      </c>
      <c r="B12" s="481" t="s">
        <v>141</v>
      </c>
      <c r="C12" s="483" t="s">
        <v>142</v>
      </c>
      <c r="D12" s="485" t="s">
        <v>50</v>
      </c>
      <c r="E12" s="483" t="s">
        <v>1</v>
      </c>
      <c r="F12" s="487" t="s">
        <v>7</v>
      </c>
      <c r="G12" s="487" t="s">
        <v>52</v>
      </c>
      <c r="H12" s="485" t="s">
        <v>143</v>
      </c>
      <c r="I12" s="485" t="s">
        <v>144</v>
      </c>
      <c r="J12" s="485" t="s">
        <v>49</v>
      </c>
      <c r="K12" s="479" t="s">
        <v>145</v>
      </c>
      <c r="L12" s="480"/>
      <c r="M12" s="489" t="s">
        <v>32</v>
      </c>
      <c r="P12" s="177"/>
      <c r="W12" s="174"/>
      <c r="X12" s="177"/>
      <c r="Y12" s="177"/>
      <c r="Z12" s="177"/>
    </row>
    <row r="13" spans="1:28" ht="18" customHeight="1" x14ac:dyDescent="0.25">
      <c r="A13" s="464"/>
      <c r="B13" s="482"/>
      <c r="C13" s="484"/>
      <c r="D13" s="486"/>
      <c r="E13" s="484"/>
      <c r="F13" s="488"/>
      <c r="G13" s="488"/>
      <c r="H13" s="486"/>
      <c r="I13" s="486"/>
      <c r="J13" s="486"/>
      <c r="K13" s="183" t="s">
        <v>55</v>
      </c>
      <c r="L13" s="183" t="s">
        <v>54</v>
      </c>
      <c r="M13" s="490"/>
      <c r="P13" s="177"/>
      <c r="W13" s="174"/>
      <c r="X13" s="177"/>
      <c r="Y13" s="177"/>
      <c r="Z13" s="177"/>
    </row>
    <row r="14" spans="1:28" ht="18" customHeight="1" x14ac:dyDescent="0.25">
      <c r="A14" s="313" t="str">
        <f>IF(H1="OUI",ENGIE!A8,"GDF ou autre Fournisseur")</f>
        <v>ENGIE</v>
      </c>
      <c r="B14" s="495" t="s">
        <v>181</v>
      </c>
      <c r="C14" s="495">
        <v>1</v>
      </c>
      <c r="D14" s="184">
        <f>IF(H1="OUI",ENGIE!I18,H2)</f>
        <v>230.76</v>
      </c>
      <c r="E14" s="497">
        <v>9000</v>
      </c>
      <c r="F14" s="185">
        <f>IF(H1="OUI",ENGIE!I15,H3)</f>
        <v>3.9100000000000003E-2</v>
      </c>
      <c r="G14" s="186">
        <f>E$14*F14</f>
        <v>351.90000000000003</v>
      </c>
      <c r="H14" s="186">
        <f>IF(D14*G14&lt;&gt;0,D14+G14,0)</f>
        <v>582.66000000000008</v>
      </c>
      <c r="I14" s="186">
        <f>E$14*L$3+M$3</f>
        <v>106.41</v>
      </c>
      <c r="J14" s="186">
        <f>IF(H14*I14&lt;&gt;0,(1+D$3)*(G14 + E$14*L$3)+(1+C$3)*(D14+M$3),0)</f>
        <v>789.02160000000003</v>
      </c>
      <c r="K14" s="187"/>
      <c r="L14" s="187"/>
      <c r="M14" s="499">
        <f>IF(J14&lt;&gt;0,ROUND(J14,2)-ROUND(J15,2),0)</f>
        <v>76.009999999999991</v>
      </c>
      <c r="P14" s="177"/>
      <c r="W14" s="174"/>
      <c r="X14" s="177"/>
      <c r="Y14" s="177"/>
      <c r="Z14" s="177"/>
    </row>
    <row r="15" spans="1:28" ht="18" customHeight="1" thickBot="1" x14ac:dyDescent="0.3">
      <c r="A15" s="314" t="s">
        <v>146</v>
      </c>
      <c r="B15" s="496"/>
      <c r="C15" s="496"/>
      <c r="D15" s="315">
        <f>MégaEnergie_Gaz!I17</f>
        <v>230.76</v>
      </c>
      <c r="E15" s="498"/>
      <c r="F15" s="316">
        <f>MégaEnergie_Gaz!I14</f>
        <v>3.2062E-2</v>
      </c>
      <c r="G15" s="317">
        <f>E$14*F15</f>
        <v>288.55799999999999</v>
      </c>
      <c r="H15" s="317">
        <f>IF(D15*G15&lt;&gt;0,D15+G15,0)</f>
        <v>519.31799999999998</v>
      </c>
      <c r="I15" s="317">
        <f>E$14*L$3+M$3</f>
        <v>106.41</v>
      </c>
      <c r="J15" s="317">
        <f>IF(H15*I15&lt;&gt;0,(1+D$3)*(G15+E$14*L$3)+(1+C$3)*(D15+M$3),0)</f>
        <v>713.01120000000003</v>
      </c>
      <c r="K15" s="318">
        <f>IF(PRODUCT(J14,J15)&lt;&gt;0,1-F15/F14,0)</f>
        <v>0.18000000000000005</v>
      </c>
      <c r="L15" s="318">
        <f>IF(K15&lt;&gt;0,1-J15/J14,0)</f>
        <v>9.6335005277422114E-2</v>
      </c>
      <c r="M15" s="500" t="e">
        <f>SUM(F15,#REF!,#REF!)*1.2</f>
        <v>#REF!</v>
      </c>
      <c r="P15" s="177"/>
      <c r="W15" s="174"/>
      <c r="X15" s="177"/>
      <c r="Y15" s="177"/>
      <c r="Z15" s="177"/>
    </row>
    <row r="16" spans="1:28" x14ac:dyDescent="0.25">
      <c r="A16" s="501" t="str">
        <f>IF(J14&lt;&gt;0,CONCATENATE("Avant le ",TEXT(MégaEnergie_Elec!E5+1,"JJ/MM/AAAA"),", le prix du kWh HT ",MégaEnergie_Gaz!A8," est inférieur de ",ROUND((1-F15/F14)*100,2)," % à votre tarif du kWh HT chez ",A14," pendant 12 mois ."),"Attention : Vous avez indiqué que votre tarif n'était pas réglementé. Il vous faut renseigner les tarifs de l'abonnement et du kWh HT")</f>
        <v>Avant le 01/05/2021, le prix du kWh HT Méga Energie est inférieur de 18 % à votre tarif du kWh HT chez ENGIE pendant 12 mois .</v>
      </c>
      <c r="B16" s="501"/>
      <c r="C16" s="501"/>
      <c r="D16" s="501"/>
      <c r="E16" s="501"/>
      <c r="F16" s="501"/>
      <c r="G16" s="501"/>
      <c r="H16" s="501"/>
      <c r="I16" s="501"/>
      <c r="J16" s="501"/>
      <c r="K16" s="501"/>
      <c r="L16" s="501"/>
      <c r="M16" s="501"/>
      <c r="O16" s="174"/>
      <c r="P16" s="174"/>
      <c r="Q16" s="174"/>
      <c r="R16" s="174"/>
      <c r="S16" s="174"/>
      <c r="T16" s="174"/>
      <c r="U16" s="174"/>
      <c r="V16" s="174"/>
      <c r="W16" s="174"/>
      <c r="X16" s="174"/>
      <c r="Y16" s="174"/>
      <c r="Z16" s="177"/>
      <c r="AA16" s="177"/>
      <c r="AB16" s="177"/>
    </row>
    <row r="17" spans="1:36" s="266" customFormat="1" ht="5.25" customHeight="1" x14ac:dyDescent="0.25">
      <c r="A17" s="177"/>
      <c r="B17" s="177"/>
      <c r="C17" s="177"/>
      <c r="D17" s="177"/>
      <c r="E17" s="177"/>
      <c r="F17" s="177"/>
      <c r="G17" s="177"/>
      <c r="H17" s="177"/>
      <c r="I17" s="177"/>
      <c r="J17" s="177"/>
      <c r="K17" s="177"/>
      <c r="L17" s="177"/>
      <c r="M17" s="177"/>
      <c r="N17" s="177"/>
      <c r="R17" s="265"/>
      <c r="X17" s="177"/>
      <c r="Y17" s="177"/>
    </row>
    <row r="18" spans="1:36" ht="30.95" customHeight="1" thickBot="1" x14ac:dyDescent="0.3">
      <c r="A18" s="188" t="s">
        <v>71</v>
      </c>
      <c r="B18" s="502" t="s">
        <v>163</v>
      </c>
      <c r="C18" s="502"/>
      <c r="D18" s="502"/>
      <c r="E18" s="502"/>
      <c r="F18" s="502"/>
      <c r="G18" s="502"/>
      <c r="H18" s="502"/>
      <c r="I18" s="502"/>
      <c r="J18" s="502"/>
      <c r="K18" s="502"/>
      <c r="L18" s="502"/>
      <c r="M18" s="502"/>
      <c r="O18" s="174"/>
      <c r="R18" s="174"/>
      <c r="S18" s="174"/>
      <c r="T18" s="174"/>
      <c r="U18" s="174"/>
      <c r="V18" s="174"/>
      <c r="W18" s="174"/>
      <c r="X18" s="174"/>
      <c r="Y18" s="174"/>
      <c r="Z18" s="177"/>
      <c r="AA18" s="177"/>
      <c r="AB18" s="177"/>
    </row>
    <row r="19" spans="1:36" ht="15.75" customHeight="1" x14ac:dyDescent="0.25">
      <c r="A19" s="189" t="s">
        <v>73</v>
      </c>
      <c r="B19" s="371" t="s">
        <v>165</v>
      </c>
      <c r="C19" s="371"/>
      <c r="D19" s="371"/>
      <c r="E19" s="371"/>
      <c r="F19" s="371"/>
      <c r="G19" s="371"/>
      <c r="H19" s="371"/>
      <c r="I19" s="371"/>
      <c r="J19" s="371"/>
      <c r="K19" s="371"/>
      <c r="L19" s="371"/>
      <c r="M19" s="371"/>
      <c r="O19" s="174"/>
      <c r="P19" s="174"/>
      <c r="Q19" s="174"/>
      <c r="R19" s="221"/>
      <c r="S19" s="193"/>
      <c r="T19" s="174"/>
      <c r="U19" s="174"/>
      <c r="V19" s="174"/>
      <c r="W19" s="174"/>
      <c r="X19" s="174"/>
      <c r="Y19" s="174"/>
      <c r="Z19" s="177"/>
      <c r="AA19" s="177"/>
      <c r="AB19" s="177"/>
    </row>
    <row r="20" spans="1:36" ht="15.75" customHeight="1" x14ac:dyDescent="0.25">
      <c r="A20" s="189" t="s">
        <v>100</v>
      </c>
      <c r="B20" s="371" t="s">
        <v>147</v>
      </c>
      <c r="C20" s="371"/>
      <c r="D20" s="371"/>
      <c r="E20" s="371"/>
      <c r="F20" s="371"/>
      <c r="G20" s="371"/>
      <c r="H20" s="371"/>
      <c r="I20" s="371"/>
      <c r="J20" s="371"/>
      <c r="K20" s="371"/>
      <c r="L20" s="371"/>
      <c r="M20" s="371"/>
      <c r="O20" s="174"/>
      <c r="R20" s="221"/>
      <c r="S20" s="174"/>
      <c r="T20" s="174"/>
      <c r="U20" s="174"/>
      <c r="V20" s="174"/>
      <c r="W20" s="174"/>
      <c r="X20" s="174"/>
      <c r="Y20" s="174"/>
      <c r="Z20" s="177"/>
      <c r="AA20" s="177"/>
      <c r="AB20" s="177"/>
    </row>
    <row r="21" spans="1:36" ht="5.25" customHeight="1" x14ac:dyDescent="0.25">
      <c r="A21" s="177"/>
      <c r="B21" s="174"/>
      <c r="C21" s="174"/>
      <c r="D21" s="174"/>
      <c r="E21" s="174"/>
      <c r="F21" s="174"/>
      <c r="G21" s="174"/>
      <c r="H21" s="174"/>
      <c r="I21" s="174"/>
      <c r="J21" s="174"/>
      <c r="O21" s="174"/>
      <c r="R21" s="221"/>
      <c r="S21" s="174"/>
      <c r="T21" s="174"/>
      <c r="U21" s="174"/>
      <c r="V21" s="174"/>
      <c r="W21" s="174"/>
      <c r="X21" s="174"/>
      <c r="Y21" s="174"/>
      <c r="Z21" s="177"/>
      <c r="AA21" s="177"/>
      <c r="AB21" s="177"/>
    </row>
    <row r="22" spans="1:36" ht="15.75" thickBot="1" x14ac:dyDescent="0.3">
      <c r="A22" s="190" t="str">
        <f>'1a_Electricité_Comparatifs_Base'!A22:B22</f>
        <v>©T-GAS - V1.5 du 07/03/2021</v>
      </c>
      <c r="B22" s="190"/>
      <c r="C22" s="191"/>
      <c r="D22" s="191"/>
      <c r="E22" s="191"/>
      <c r="F22" s="191"/>
      <c r="G22" s="191"/>
      <c r="H22" s="191"/>
      <c r="I22" s="191"/>
      <c r="J22" s="191"/>
      <c r="K22" s="192"/>
      <c r="L22" s="192" t="s">
        <v>74</v>
      </c>
      <c r="M22" s="190">
        <f ca="1">TODAY()</f>
        <v>44275</v>
      </c>
      <c r="N22" s="177"/>
      <c r="X22" s="177"/>
      <c r="Y22" s="177"/>
    </row>
    <row r="23" spans="1:36" x14ac:dyDescent="0.25">
      <c r="A23" s="177"/>
      <c r="B23" s="177"/>
      <c r="C23" s="177"/>
      <c r="D23" s="177"/>
      <c r="E23" s="177"/>
      <c r="F23" s="177"/>
      <c r="G23" s="177"/>
      <c r="H23" s="177"/>
      <c r="I23" s="177"/>
      <c r="J23" s="177"/>
      <c r="K23" s="177"/>
      <c r="L23" s="177"/>
      <c r="M23" s="177"/>
      <c r="N23" s="177"/>
      <c r="R23" s="491" t="s">
        <v>38</v>
      </c>
      <c r="S23" s="193" t="s">
        <v>35</v>
      </c>
      <c r="X23" s="177"/>
      <c r="Y23" s="177"/>
    </row>
    <row r="24" spans="1:36" ht="15.75" customHeight="1" thickBot="1" x14ac:dyDescent="0.3">
      <c r="A24" s="177"/>
      <c r="B24" s="177"/>
      <c r="C24" s="177"/>
      <c r="D24" s="177"/>
      <c r="E24" s="177"/>
      <c r="F24" s="177"/>
      <c r="G24" s="177"/>
      <c r="H24" s="177"/>
      <c r="I24" s="177"/>
      <c r="J24" s="177"/>
      <c r="K24" s="177"/>
      <c r="L24" s="177"/>
      <c r="M24" s="177"/>
      <c r="N24" s="177"/>
      <c r="R24" s="492"/>
      <c r="S24" s="194" t="s">
        <v>36</v>
      </c>
      <c r="X24" s="177"/>
      <c r="Y24" s="177"/>
    </row>
    <row r="25" spans="1:36" x14ac:dyDescent="0.25">
      <c r="A25" s="177"/>
      <c r="B25" s="177"/>
      <c r="C25" s="177"/>
      <c r="D25" s="177"/>
      <c r="E25" s="177"/>
      <c r="F25" s="177"/>
      <c r="G25" s="177"/>
      <c r="H25" s="195"/>
      <c r="I25" s="177"/>
      <c r="J25" s="177"/>
      <c r="K25" s="177"/>
      <c r="L25" s="177"/>
      <c r="M25" s="177"/>
      <c r="N25" s="177"/>
      <c r="X25" s="177"/>
      <c r="Y25" s="177"/>
    </row>
    <row r="26" spans="1:36" ht="15.75" thickBot="1" x14ac:dyDescent="0.3">
      <c r="A26" s="177"/>
      <c r="B26" s="177"/>
      <c r="C26" s="177"/>
      <c r="D26" s="177"/>
      <c r="E26" s="177"/>
      <c r="F26" s="177"/>
      <c r="G26" s="177"/>
      <c r="H26" s="195"/>
      <c r="I26" s="177"/>
      <c r="J26" s="177"/>
      <c r="K26" s="177"/>
      <c r="L26" s="177"/>
      <c r="M26" s="177"/>
      <c r="N26" s="177"/>
      <c r="X26" s="177"/>
      <c r="Y26" s="177"/>
    </row>
    <row r="27" spans="1:36" x14ac:dyDescent="0.25">
      <c r="A27" s="177"/>
      <c r="B27" s="177"/>
      <c r="C27" s="177"/>
      <c r="D27" s="177"/>
      <c r="E27" s="177"/>
      <c r="F27" s="177"/>
      <c r="G27" s="177"/>
      <c r="H27" s="177"/>
      <c r="I27" s="177"/>
      <c r="J27" s="177"/>
      <c r="K27" s="177"/>
      <c r="L27" s="177"/>
      <c r="M27" s="177"/>
      <c r="N27" s="177"/>
      <c r="R27" s="196" t="s">
        <v>37</v>
      </c>
      <c r="S27" s="197">
        <v>5.5E-2</v>
      </c>
      <c r="X27" s="177"/>
      <c r="Y27" s="177"/>
    </row>
    <row r="28" spans="1:36" x14ac:dyDescent="0.25">
      <c r="A28" s="177"/>
      <c r="B28" s="177"/>
      <c r="C28" s="177"/>
      <c r="D28" s="177"/>
      <c r="E28" s="177"/>
      <c r="F28" s="177"/>
      <c r="G28" s="177"/>
      <c r="H28" s="177"/>
      <c r="I28" s="177"/>
      <c r="J28" s="177"/>
      <c r="K28" s="177"/>
      <c r="L28" s="177"/>
      <c r="M28" s="177"/>
      <c r="N28" s="177"/>
      <c r="R28" s="198" t="s">
        <v>39</v>
      </c>
      <c r="S28" s="199">
        <v>0.2</v>
      </c>
      <c r="X28" s="177"/>
      <c r="Y28" s="177"/>
    </row>
    <row r="29" spans="1:36" ht="15.75" thickBot="1" x14ac:dyDescent="0.3">
      <c r="A29" s="177"/>
      <c r="B29" s="177"/>
      <c r="C29" s="177"/>
      <c r="D29" s="177"/>
      <c r="E29" s="177"/>
      <c r="F29" s="177"/>
      <c r="G29" s="177"/>
      <c r="H29" s="177"/>
      <c r="I29" s="177"/>
      <c r="J29" s="177"/>
      <c r="K29" s="177"/>
      <c r="L29" s="177"/>
      <c r="M29" s="177"/>
      <c r="N29" s="177"/>
      <c r="R29" s="200" t="s">
        <v>40</v>
      </c>
      <c r="S29" s="201">
        <v>0.1</v>
      </c>
      <c r="X29" s="177"/>
      <c r="Y29" s="177"/>
    </row>
    <row r="30" spans="1:36" x14ac:dyDescent="0.25">
      <c r="A30" s="177"/>
      <c r="B30" s="177"/>
      <c r="C30" s="177"/>
      <c r="D30" s="177"/>
      <c r="E30" s="177"/>
      <c r="F30" s="177"/>
      <c r="G30" s="177"/>
      <c r="H30" s="177"/>
      <c r="I30" s="177"/>
      <c r="J30" s="177"/>
      <c r="K30" s="177"/>
      <c r="L30" s="177"/>
      <c r="M30" s="177"/>
      <c r="N30" s="177"/>
      <c r="X30" s="177"/>
      <c r="Y30" s="177"/>
    </row>
    <row r="31" spans="1:36" x14ac:dyDescent="0.25">
      <c r="A31" s="177"/>
      <c r="B31" s="177"/>
      <c r="C31" s="177"/>
      <c r="D31" s="177"/>
      <c r="E31" s="177"/>
      <c r="F31" s="177"/>
      <c r="G31" s="177"/>
      <c r="H31" s="177"/>
      <c r="I31" s="177"/>
      <c r="J31" s="177"/>
      <c r="K31" s="177"/>
      <c r="L31" s="177"/>
      <c r="M31" s="177"/>
      <c r="N31" s="177"/>
      <c r="X31" s="177"/>
      <c r="Y31" s="177"/>
      <c r="AI31" s="202">
        <v>10.3</v>
      </c>
      <c r="AJ31" s="203">
        <f>AI31*12</f>
        <v>123.60000000000001</v>
      </c>
    </row>
    <row r="32" spans="1:36" x14ac:dyDescent="0.25">
      <c r="A32" s="177"/>
      <c r="B32" s="177"/>
      <c r="C32" s="177"/>
      <c r="D32" s="177"/>
      <c r="E32" s="177"/>
      <c r="F32" s="177"/>
      <c r="G32" s="177"/>
      <c r="H32" s="177"/>
      <c r="I32" s="177"/>
      <c r="J32" s="177"/>
      <c r="K32" s="177"/>
      <c r="L32" s="177"/>
      <c r="M32" s="177"/>
      <c r="N32" s="177"/>
      <c r="Q32" s="204"/>
      <c r="R32" s="205" t="s">
        <v>67</v>
      </c>
      <c r="S32" s="206" t="s">
        <v>148</v>
      </c>
      <c r="X32" s="177"/>
      <c r="Y32" s="177"/>
      <c r="AI32" s="202">
        <v>12.61</v>
      </c>
      <c r="AJ32" s="203">
        <f t="shared" ref="AJ32:AJ39" si="0">AI32*12</f>
        <v>151.32</v>
      </c>
    </row>
    <row r="33" spans="1:36" x14ac:dyDescent="0.25">
      <c r="A33" s="177"/>
      <c r="B33" s="177"/>
      <c r="C33" s="177"/>
      <c r="D33" s="177"/>
      <c r="E33" s="177"/>
      <c r="F33" s="177"/>
      <c r="G33" s="177"/>
      <c r="H33" s="177"/>
      <c r="I33" s="177"/>
      <c r="J33" s="177"/>
      <c r="K33" s="177"/>
      <c r="L33" s="177"/>
      <c r="M33" s="177"/>
      <c r="N33" s="177"/>
      <c r="Q33" s="207"/>
      <c r="R33" s="274" t="s">
        <v>179</v>
      </c>
      <c r="S33" s="208">
        <v>1</v>
      </c>
      <c r="X33" s="177"/>
      <c r="Y33" s="177"/>
      <c r="AI33" s="202">
        <v>14.97</v>
      </c>
      <c r="AJ33" s="203">
        <f t="shared" si="0"/>
        <v>179.64000000000001</v>
      </c>
    </row>
    <row r="34" spans="1:36" x14ac:dyDescent="0.25">
      <c r="A34" s="177"/>
      <c r="B34" s="177"/>
      <c r="C34" s="177"/>
      <c r="D34" s="177"/>
      <c r="E34" s="177"/>
      <c r="F34" s="177"/>
      <c r="G34" s="177"/>
      <c r="H34" s="177"/>
      <c r="I34" s="177"/>
      <c r="J34" s="177"/>
      <c r="K34" s="177"/>
      <c r="L34" s="177"/>
      <c r="M34" s="177"/>
      <c r="N34" s="177"/>
      <c r="Q34" s="209"/>
      <c r="R34" s="274" t="s">
        <v>180</v>
      </c>
      <c r="S34" s="208">
        <v>2</v>
      </c>
      <c r="X34" s="177"/>
      <c r="Y34" s="177"/>
      <c r="AI34" s="202">
        <v>16.78</v>
      </c>
      <c r="AJ34" s="203">
        <f t="shared" si="0"/>
        <v>201.36</v>
      </c>
    </row>
    <row r="35" spans="1:36" x14ac:dyDescent="0.25">
      <c r="Q35" s="209"/>
      <c r="R35" s="274" t="s">
        <v>181</v>
      </c>
      <c r="S35" s="208">
        <v>3</v>
      </c>
      <c r="AI35" s="202">
        <v>18.64</v>
      </c>
      <c r="AJ35" s="203">
        <f t="shared" si="0"/>
        <v>223.68</v>
      </c>
    </row>
    <row r="36" spans="1:36" x14ac:dyDescent="0.25">
      <c r="Q36" s="209"/>
      <c r="R36" s="274" t="s">
        <v>182</v>
      </c>
      <c r="S36" s="208">
        <v>4</v>
      </c>
      <c r="AI36" s="202">
        <v>22.89</v>
      </c>
      <c r="AJ36" s="203">
        <f t="shared" si="0"/>
        <v>274.68</v>
      </c>
    </row>
    <row r="37" spans="1:36" x14ac:dyDescent="0.25">
      <c r="Q37" s="209"/>
      <c r="S37" s="273">
        <v>5</v>
      </c>
      <c r="AI37" s="202">
        <v>26.67</v>
      </c>
      <c r="AJ37" s="203">
        <f t="shared" si="0"/>
        <v>320.04000000000002</v>
      </c>
    </row>
    <row r="38" spans="1:36" x14ac:dyDescent="0.25">
      <c r="Q38" s="209"/>
      <c r="S38" s="208">
        <v>6</v>
      </c>
      <c r="AI38" s="202">
        <v>30.19</v>
      </c>
      <c r="AJ38" s="203">
        <f t="shared" si="0"/>
        <v>362.28000000000003</v>
      </c>
    </row>
    <row r="39" spans="1:36" x14ac:dyDescent="0.25">
      <c r="Q39" s="209"/>
      <c r="AI39" s="202"/>
      <c r="AJ39" s="203">
        <f t="shared" si="0"/>
        <v>0</v>
      </c>
    </row>
    <row r="40" spans="1:36" x14ac:dyDescent="0.25">
      <c r="Q40" s="209"/>
      <c r="R40" s="175" t="str">
        <f>A14</f>
        <v>ENGIE</v>
      </c>
    </row>
    <row r="41" spans="1:36" x14ac:dyDescent="0.25">
      <c r="Q41" s="209"/>
      <c r="R41" s="175" t="str">
        <f>A15</f>
        <v>Méga Energie</v>
      </c>
    </row>
    <row r="42" spans="1:36" ht="15.75" thickBot="1" x14ac:dyDescent="0.3"/>
    <row r="43" spans="1:36" ht="22.5" customHeight="1" x14ac:dyDescent="0.25">
      <c r="R43" s="493" t="e">
        <f>#REF!</f>
        <v>#REF!</v>
      </c>
      <c r="S43" s="193" t="s">
        <v>149</v>
      </c>
    </row>
    <row r="44" spans="1:36" ht="22.5" customHeight="1" thickBot="1" x14ac:dyDescent="0.3">
      <c r="R44" s="494"/>
      <c r="S44" s="194" t="s">
        <v>150</v>
      </c>
    </row>
    <row r="46" spans="1:36" x14ac:dyDescent="0.25">
      <c r="R46" s="210" t="s">
        <v>151</v>
      </c>
    </row>
    <row r="47" spans="1:36" x14ac:dyDescent="0.25">
      <c r="R47" s="211" t="s">
        <v>62</v>
      </c>
    </row>
    <row r="48" spans="1:36" x14ac:dyDescent="0.25">
      <c r="R48" s="211" t="s">
        <v>63</v>
      </c>
    </row>
  </sheetData>
  <sheetProtection algorithmName="SHA-512" hashValue="fQniZyr8x0H+LoEfMiEZzBbVFYILxgwL8feoThdnydL3vDhIDx3putI0EqPsFnAE2ubwD8w0Q390lmKH9uV2vg==" saltValue="pn3WmKPzzMxQlabKGh1mtw==" spinCount="100000" sheet="1" selectLockedCells="1"/>
  <mergeCells count="35">
    <mergeCell ref="M12:M13"/>
    <mergeCell ref="G12:G13"/>
    <mergeCell ref="R23:R24"/>
    <mergeCell ref="R43:R44"/>
    <mergeCell ref="B14:B15"/>
    <mergeCell ref="C14:C15"/>
    <mergeCell ref="E14:E15"/>
    <mergeCell ref="M14:M15"/>
    <mergeCell ref="A16:M16"/>
    <mergeCell ref="A12:A13"/>
    <mergeCell ref="B18:M18"/>
    <mergeCell ref="B19:M19"/>
    <mergeCell ref="B20:M20"/>
    <mergeCell ref="H12:H13"/>
    <mergeCell ref="I12:I13"/>
    <mergeCell ref="J12:J13"/>
    <mergeCell ref="K12:L12"/>
    <mergeCell ref="B12:B13"/>
    <mergeCell ref="C12:C13"/>
    <mergeCell ref="D12:D13"/>
    <mergeCell ref="E12:E13"/>
    <mergeCell ref="F12:F13"/>
    <mergeCell ref="B9:E9"/>
    <mergeCell ref="C1:E1"/>
    <mergeCell ref="F1:F2"/>
    <mergeCell ref="L1:M1"/>
    <mergeCell ref="D2:E2"/>
    <mergeCell ref="D3:E3"/>
    <mergeCell ref="A7:D7"/>
    <mergeCell ref="I6:M6"/>
    <mergeCell ref="I7:M7"/>
    <mergeCell ref="B8:G8"/>
    <mergeCell ref="I8:M8"/>
    <mergeCell ref="A5:B5"/>
    <mergeCell ref="J9:M9"/>
  </mergeCells>
  <conditionalFormatting sqref="M14:M15">
    <cfRule type="colorScale" priority="1">
      <colorScale>
        <cfvo type="num" val="-150"/>
        <cfvo type="num" val="150"/>
        <color rgb="FFFF0000"/>
        <color rgb="FF00B050"/>
      </colorScale>
    </cfRule>
  </conditionalFormatting>
  <dataValidations count="4">
    <dataValidation type="list" allowBlank="1" showInputMessage="1" showErrorMessage="1" error="Veuillez sélectionner la réponse dans la liste." sqref="H1" xr:uid="{96E950B5-FE48-4021-8708-774679BD522D}">
      <formula1>$S$23:$S$24</formula1>
    </dataValidation>
    <dataValidation type="list" allowBlank="1" showInputMessage="1" showErrorMessage="1" error="Veuillez sélectionner la réponse dans la liste." sqref="C14:C15" xr:uid="{F8896B56-4E2B-4094-9CB7-95D33A59F679}">
      <formula1>$S$33:$S$38</formula1>
    </dataValidation>
    <dataValidation type="list" allowBlank="1" showInputMessage="1" showErrorMessage="1" error="Veuillez sélectionner la réponse dans la liste." promptTitle="Valeur TVA" prompt="10% sur logements neufs_x000a_20% sur logements anciens" sqref="F3" xr:uid="{ED2BE207-17B2-4132-8C63-7CD9548C4A93}">
      <formula1>$S$23:$S$24</formula1>
    </dataValidation>
    <dataValidation type="list" allowBlank="1" showInputMessage="1" showErrorMessage="1" error="Veuillez sélectionner la réponse dans la liste." sqref="B14:B15" xr:uid="{95592E46-726D-4260-8B73-C7A63F327DD7}">
      <formula1>$R$33:$R$36</formula1>
    </dataValidation>
  </dataValidations>
  <hyperlinks>
    <hyperlink ref="B9:E9" r:id="rId1" display="Pour connaître la zone tarifaire, cliquez ICI" xr:uid="{8DB04CD5-A1E1-4885-B376-8FD8C06B8767}"/>
  </hyperlinks>
  <printOptions horizontalCentered="1"/>
  <pageMargins left="0.19685039370078741" right="0.19685039370078741" top="0.59055118110236227" bottom="0.59055118110236227" header="0.31496062992125984" footer="0.31496062992125984"/>
  <pageSetup paperSize="9" scale="68" orientation="landscape" r:id="rId2"/>
  <ignoredErrors>
    <ignoredError sqref="A18:A20" numberStoredAsText="1"/>
  </ignoredError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ADD7A-50AE-427F-BD11-5FC72FA265D4}">
  <sheetPr codeName="Feuil4">
    <tabColor rgb="FF0099FF"/>
    <pageSetUpPr fitToPage="1"/>
  </sheetPr>
  <dimension ref="A1:P63"/>
  <sheetViews>
    <sheetView showGridLines="0" zoomScaleNormal="100" workbookViewId="0">
      <selection sqref="A1:E1"/>
    </sheetView>
  </sheetViews>
  <sheetFormatPr baseColWidth="10" defaultRowHeight="15" x14ac:dyDescent="0.25"/>
  <cols>
    <col min="1" max="1" width="8.7109375" style="222" customWidth="1"/>
    <col min="2" max="5" width="18.7109375" style="222" customWidth="1"/>
    <col min="6" max="6" width="3.7109375" style="11" customWidth="1"/>
    <col min="7" max="7" width="2.7109375" style="11" customWidth="1"/>
    <col min="8" max="8" width="0" style="11" hidden="1" customWidth="1"/>
    <col min="9" max="9" width="15.42578125" style="11" hidden="1" customWidth="1"/>
    <col min="10" max="10" width="15.5703125" style="11" hidden="1" customWidth="1"/>
    <col min="11" max="12" width="0" style="11" hidden="1" customWidth="1"/>
    <col min="13" max="13" width="11.42578125" style="11" hidden="1" customWidth="1"/>
    <col min="14" max="14" width="15.42578125" style="222" hidden="1" customWidth="1"/>
    <col min="15" max="15" width="15.5703125" style="222" hidden="1" customWidth="1"/>
    <col min="16" max="16" width="11.42578125" style="11" hidden="1" customWidth="1"/>
    <col min="17" max="18" width="0" style="11" hidden="1" customWidth="1"/>
    <col min="19" max="16384" width="11.42578125" style="11"/>
  </cols>
  <sheetData>
    <row r="1" spans="1:15" ht="34.5" thickBot="1" x14ac:dyDescent="0.3">
      <c r="A1" s="503" t="s">
        <v>60</v>
      </c>
      <c r="B1" s="503"/>
      <c r="C1" s="503"/>
      <c r="D1" s="503"/>
      <c r="E1" s="503"/>
      <c r="F1" s="323"/>
    </row>
    <row r="2" spans="1:15" x14ac:dyDescent="0.25">
      <c r="A2" s="233"/>
      <c r="B2" s="234"/>
      <c r="C2" s="234"/>
      <c r="D2" s="234"/>
      <c r="E2" s="235"/>
    </row>
    <row r="3" spans="1:15" ht="23.25" x14ac:dyDescent="0.35">
      <c r="A3" s="513" t="s">
        <v>237</v>
      </c>
      <c r="B3" s="506"/>
      <c r="C3" s="506"/>
      <c r="D3" s="506"/>
      <c r="E3" s="514"/>
    </row>
    <row r="4" spans="1:15" x14ac:dyDescent="0.25">
      <c r="A4" s="236"/>
      <c r="B4" s="518"/>
      <c r="C4" s="518"/>
      <c r="D4" s="518"/>
      <c r="E4" s="237"/>
    </row>
    <row r="5" spans="1:15" ht="15.75" x14ac:dyDescent="0.25">
      <c r="A5" s="236"/>
      <c r="B5" s="212" t="s">
        <v>27</v>
      </c>
      <c r="C5" s="177"/>
      <c r="D5" s="238" t="s">
        <v>92</v>
      </c>
      <c r="E5" s="239"/>
    </row>
    <row r="6" spans="1:15" x14ac:dyDescent="0.25">
      <c r="A6" s="236"/>
      <c r="B6" s="177"/>
      <c r="C6" s="177"/>
      <c r="E6" s="237"/>
    </row>
    <row r="7" spans="1:15" ht="15.75" thickBot="1" x14ac:dyDescent="0.3">
      <c r="A7" s="236"/>
      <c r="B7" s="508" t="s">
        <v>28</v>
      </c>
      <c r="C7" s="508"/>
      <c r="D7" s="508"/>
      <c r="E7" s="237"/>
    </row>
    <row r="8" spans="1:15" ht="30" customHeight="1" x14ac:dyDescent="0.25">
      <c r="A8" s="515" t="s">
        <v>6</v>
      </c>
      <c r="B8" s="240" t="s">
        <v>26</v>
      </c>
      <c r="C8" s="241" t="s">
        <v>44</v>
      </c>
      <c r="D8" s="241" t="s">
        <v>41</v>
      </c>
      <c r="E8" s="237"/>
      <c r="N8" s="241" t="s">
        <v>136</v>
      </c>
      <c r="O8" s="241" t="s">
        <v>44</v>
      </c>
    </row>
    <row r="9" spans="1:15" x14ac:dyDescent="0.25">
      <c r="A9" s="516"/>
      <c r="B9" s="242">
        <v>3</v>
      </c>
      <c r="C9" s="243">
        <v>6.91</v>
      </c>
      <c r="D9" s="244">
        <v>9.9400000000000002E-2</v>
      </c>
      <c r="E9" s="237"/>
      <c r="N9" s="243">
        <v>83.52</v>
      </c>
      <c r="O9" s="243">
        <f>ROUND(N9/12,2)</f>
        <v>6.96</v>
      </c>
    </row>
    <row r="10" spans="1:15" x14ac:dyDescent="0.25">
      <c r="A10" s="516"/>
      <c r="B10" s="242">
        <v>6</v>
      </c>
      <c r="C10" s="243">
        <v>8.4600000000000009</v>
      </c>
      <c r="D10" s="244">
        <v>9.9400000000000002E-2</v>
      </c>
      <c r="E10" s="237"/>
      <c r="N10" s="243">
        <v>102.24</v>
      </c>
      <c r="O10" s="243">
        <f t="shared" ref="O10:O17" si="0">ROUND(N10/12,2)</f>
        <v>8.52</v>
      </c>
    </row>
    <row r="11" spans="1:15" x14ac:dyDescent="0.25">
      <c r="A11" s="516"/>
      <c r="B11" s="242">
        <v>9</v>
      </c>
      <c r="C11" s="243">
        <v>10.02</v>
      </c>
      <c r="D11" s="244">
        <v>0.10340000000000001</v>
      </c>
      <c r="E11" s="237"/>
      <c r="N11" s="243">
        <v>120.84</v>
      </c>
      <c r="O11" s="243">
        <f t="shared" si="0"/>
        <v>10.07</v>
      </c>
    </row>
    <row r="12" spans="1:15" x14ac:dyDescent="0.25">
      <c r="A12" s="516"/>
      <c r="B12" s="242">
        <v>12</v>
      </c>
      <c r="C12" s="243">
        <v>11.56</v>
      </c>
      <c r="D12" s="244">
        <v>0.10340000000000001</v>
      </c>
      <c r="E12" s="237"/>
      <c r="N12" s="243">
        <v>139.44</v>
      </c>
      <c r="O12" s="243">
        <f t="shared" si="0"/>
        <v>11.62</v>
      </c>
    </row>
    <row r="13" spans="1:15" x14ac:dyDescent="0.25">
      <c r="A13" s="516"/>
      <c r="B13" s="242">
        <v>15</v>
      </c>
      <c r="C13" s="243">
        <v>13.06</v>
      </c>
      <c r="D13" s="244">
        <v>0.10340000000000001</v>
      </c>
      <c r="E13" s="237"/>
      <c r="N13" s="243">
        <v>157.32</v>
      </c>
      <c r="O13" s="243">
        <f t="shared" si="0"/>
        <v>13.11</v>
      </c>
    </row>
    <row r="14" spans="1:15" x14ac:dyDescent="0.25">
      <c r="A14" s="516"/>
      <c r="B14" s="245">
        <v>18</v>
      </c>
      <c r="C14" s="246">
        <v>14.59</v>
      </c>
      <c r="D14" s="247">
        <v>0.10340000000000001</v>
      </c>
      <c r="E14" s="237"/>
      <c r="N14" s="246">
        <v>175.8</v>
      </c>
      <c r="O14" s="246">
        <f t="shared" si="0"/>
        <v>14.65</v>
      </c>
    </row>
    <row r="15" spans="1:15" x14ac:dyDescent="0.25">
      <c r="A15" s="516"/>
      <c r="B15" s="245">
        <v>24</v>
      </c>
      <c r="C15" s="246">
        <v>18.02</v>
      </c>
      <c r="D15" s="247">
        <v>0.10340000000000001</v>
      </c>
      <c r="E15" s="237"/>
      <c r="N15" s="246">
        <v>216.84</v>
      </c>
      <c r="O15" s="246">
        <f t="shared" si="0"/>
        <v>18.07</v>
      </c>
    </row>
    <row r="16" spans="1:15" x14ac:dyDescent="0.25">
      <c r="A16" s="516"/>
      <c r="B16" s="245">
        <v>30</v>
      </c>
      <c r="C16" s="246">
        <v>21.64</v>
      </c>
      <c r="D16" s="247">
        <v>0.10340000000000001</v>
      </c>
      <c r="E16" s="237"/>
      <c r="N16" s="246">
        <v>260.27999999999997</v>
      </c>
      <c r="O16" s="246">
        <f t="shared" si="0"/>
        <v>21.69</v>
      </c>
    </row>
    <row r="17" spans="1:15" x14ac:dyDescent="0.25">
      <c r="A17" s="516"/>
      <c r="B17" s="245">
        <v>36</v>
      </c>
      <c r="C17" s="246">
        <v>24.09</v>
      </c>
      <c r="D17" s="247">
        <v>0.10340000000000001</v>
      </c>
      <c r="E17" s="237"/>
      <c r="N17" s="246">
        <v>289.8</v>
      </c>
      <c r="O17" s="246">
        <f t="shared" si="0"/>
        <v>24.15</v>
      </c>
    </row>
    <row r="18" spans="1:15" x14ac:dyDescent="0.25">
      <c r="A18" s="516"/>
      <c r="B18" s="177"/>
      <c r="C18" s="177"/>
      <c r="D18" s="177"/>
      <c r="E18" s="237"/>
    </row>
    <row r="19" spans="1:15" ht="15.75" x14ac:dyDescent="0.25">
      <c r="A19" s="516"/>
      <c r="B19" s="212" t="s">
        <v>29</v>
      </c>
      <c r="C19" s="177"/>
      <c r="D19" s="177"/>
      <c r="E19" s="237"/>
    </row>
    <row r="20" spans="1:15" x14ac:dyDescent="0.25">
      <c r="A20" s="516"/>
      <c r="B20" s="177"/>
      <c r="C20" s="177"/>
      <c r="D20" s="177"/>
      <c r="E20" s="237"/>
    </row>
    <row r="21" spans="1:15" x14ac:dyDescent="0.25">
      <c r="A21" s="516"/>
      <c r="B21" s="508" t="s">
        <v>30</v>
      </c>
      <c r="C21" s="508"/>
      <c r="D21" s="508"/>
      <c r="E21" s="519"/>
    </row>
    <row r="22" spans="1:15" ht="30" customHeight="1" x14ac:dyDescent="0.25">
      <c r="A22" s="516"/>
      <c r="B22" s="240" t="s">
        <v>26</v>
      </c>
      <c r="C22" s="241" t="s">
        <v>44</v>
      </c>
      <c r="D22" s="241" t="s">
        <v>42</v>
      </c>
      <c r="E22" s="248" t="s">
        <v>43</v>
      </c>
      <c r="N22" s="241" t="s">
        <v>136</v>
      </c>
      <c r="O22" s="241" t="s">
        <v>44</v>
      </c>
    </row>
    <row r="23" spans="1:15" x14ac:dyDescent="0.25">
      <c r="A23" s="516"/>
      <c r="B23" s="242">
        <v>6</v>
      </c>
      <c r="C23" s="249">
        <v>9.02</v>
      </c>
      <c r="D23" s="250">
        <v>0.122</v>
      </c>
      <c r="E23" s="251">
        <v>8.0299999999999996E-2</v>
      </c>
      <c r="N23" s="243">
        <v>108.84</v>
      </c>
      <c r="O23" s="243">
        <f>ROUND(N23/12,2)</f>
        <v>9.07</v>
      </c>
    </row>
    <row r="24" spans="1:15" x14ac:dyDescent="0.25">
      <c r="A24" s="516"/>
      <c r="B24" s="242">
        <v>9</v>
      </c>
      <c r="C24" s="249">
        <v>11.03</v>
      </c>
      <c r="D24" s="250">
        <v>0.122</v>
      </c>
      <c r="E24" s="251">
        <v>8.0299999999999996E-2</v>
      </c>
      <c r="N24" s="243">
        <v>133.08000000000001</v>
      </c>
      <c r="O24" s="243">
        <f t="shared" ref="O24:O30" si="1">ROUND(N24/12,2)</f>
        <v>11.09</v>
      </c>
    </row>
    <row r="25" spans="1:15" x14ac:dyDescent="0.25">
      <c r="A25" s="516"/>
      <c r="B25" s="242">
        <v>12</v>
      </c>
      <c r="C25" s="249">
        <v>12.92</v>
      </c>
      <c r="D25" s="250">
        <v>0.122</v>
      </c>
      <c r="E25" s="251">
        <v>8.0299999999999996E-2</v>
      </c>
      <c r="N25" s="243">
        <v>155.63999999999999</v>
      </c>
      <c r="O25" s="243">
        <f t="shared" si="1"/>
        <v>12.97</v>
      </c>
    </row>
    <row r="26" spans="1:15" x14ac:dyDescent="0.25">
      <c r="A26" s="516"/>
      <c r="B26" s="242">
        <v>15</v>
      </c>
      <c r="C26" s="249">
        <v>14.66</v>
      </c>
      <c r="D26" s="250">
        <v>0.122</v>
      </c>
      <c r="E26" s="251">
        <v>8.0299999999999996E-2</v>
      </c>
      <c r="N26" s="243">
        <v>176.54</v>
      </c>
      <c r="O26" s="243">
        <f t="shared" si="1"/>
        <v>14.71</v>
      </c>
    </row>
    <row r="27" spans="1:15" x14ac:dyDescent="0.25">
      <c r="A27" s="516"/>
      <c r="B27" s="245">
        <v>18</v>
      </c>
      <c r="C27" s="358">
        <v>16.21</v>
      </c>
      <c r="D27" s="359">
        <v>0.122</v>
      </c>
      <c r="E27" s="360">
        <v>8.0299999999999996E-2</v>
      </c>
      <c r="N27" s="246">
        <v>195.24</v>
      </c>
      <c r="O27" s="246">
        <f t="shared" si="1"/>
        <v>16.27</v>
      </c>
    </row>
    <row r="28" spans="1:15" x14ac:dyDescent="0.25">
      <c r="A28" s="516"/>
      <c r="B28" s="245">
        <v>24</v>
      </c>
      <c r="C28" s="358">
        <v>19.89</v>
      </c>
      <c r="D28" s="359">
        <v>0.122</v>
      </c>
      <c r="E28" s="360">
        <v>8.0299999999999996E-2</v>
      </c>
      <c r="N28" s="246">
        <v>239.4</v>
      </c>
      <c r="O28" s="246">
        <f t="shared" si="1"/>
        <v>19.95</v>
      </c>
    </row>
    <row r="29" spans="1:15" x14ac:dyDescent="0.25">
      <c r="A29" s="516"/>
      <c r="B29" s="245">
        <v>30</v>
      </c>
      <c r="C29" s="358">
        <v>23.09</v>
      </c>
      <c r="D29" s="359">
        <v>0.122</v>
      </c>
      <c r="E29" s="360">
        <v>8.0299999999999996E-2</v>
      </c>
      <c r="N29" s="246">
        <v>277.68</v>
      </c>
      <c r="O29" s="246">
        <f t="shared" si="1"/>
        <v>23.14</v>
      </c>
    </row>
    <row r="30" spans="1:15" ht="15.75" thickBot="1" x14ac:dyDescent="0.3">
      <c r="A30" s="517"/>
      <c r="B30" s="361">
        <v>36</v>
      </c>
      <c r="C30" s="366">
        <v>26.02</v>
      </c>
      <c r="D30" s="367">
        <v>0.122</v>
      </c>
      <c r="E30" s="368">
        <v>8.0299999999999996E-2</v>
      </c>
      <c r="N30" s="246">
        <v>312.83999999999997</v>
      </c>
      <c r="O30" s="246">
        <f t="shared" si="1"/>
        <v>26.07</v>
      </c>
    </row>
    <row r="31" spans="1:15" ht="15" customHeight="1" x14ac:dyDescent="0.25"/>
    <row r="32" spans="1:15" x14ac:dyDescent="0.25">
      <c r="B32" s="255"/>
      <c r="C32" s="504" t="s">
        <v>167</v>
      </c>
      <c r="D32" s="504"/>
      <c r="E32" s="504"/>
    </row>
    <row r="34" spans="1:15" ht="15.75" thickBot="1" x14ac:dyDescent="0.3"/>
    <row r="35" spans="1:15" x14ac:dyDescent="0.25">
      <c r="A35" s="256"/>
      <c r="B35" s="257"/>
      <c r="C35" s="257"/>
      <c r="D35" s="257"/>
      <c r="E35" s="258"/>
    </row>
    <row r="36" spans="1:15" ht="23.25" x14ac:dyDescent="0.35">
      <c r="A36" s="505" t="s">
        <v>233</v>
      </c>
      <c r="B36" s="506"/>
      <c r="C36" s="506"/>
      <c r="D36" s="506"/>
      <c r="E36" s="507"/>
    </row>
    <row r="37" spans="1:15" x14ac:dyDescent="0.25">
      <c r="A37" s="259"/>
      <c r="E37" s="260"/>
    </row>
    <row r="38" spans="1:15" x14ac:dyDescent="0.25">
      <c r="A38" s="259"/>
      <c r="E38" s="260"/>
    </row>
    <row r="39" spans="1:15" x14ac:dyDescent="0.25">
      <c r="A39" s="259"/>
      <c r="E39" s="260"/>
    </row>
    <row r="40" spans="1:15" ht="15.75" thickBot="1" x14ac:dyDescent="0.3">
      <c r="A40" s="261"/>
      <c r="B40" s="508" t="s">
        <v>79</v>
      </c>
      <c r="C40" s="508"/>
      <c r="D40" s="508"/>
      <c r="E40" s="260"/>
    </row>
    <row r="41" spans="1:15" ht="30" customHeight="1" x14ac:dyDescent="0.25">
      <c r="A41" s="509" t="s">
        <v>6</v>
      </c>
      <c r="B41" s="240" t="s">
        <v>26</v>
      </c>
      <c r="C41" s="241" t="s">
        <v>44</v>
      </c>
      <c r="D41" s="241" t="s">
        <v>41</v>
      </c>
      <c r="E41" s="260"/>
      <c r="N41" s="241" t="s">
        <v>136</v>
      </c>
      <c r="O41" s="241" t="s">
        <v>44</v>
      </c>
    </row>
    <row r="42" spans="1:15" x14ac:dyDescent="0.25">
      <c r="A42" s="510"/>
      <c r="B42" s="242">
        <v>3</v>
      </c>
      <c r="C42" s="243">
        <f>O42</f>
        <v>9.92</v>
      </c>
      <c r="D42" s="244">
        <v>0.1047</v>
      </c>
      <c r="E42" s="260"/>
      <c r="N42" s="243">
        <v>119.04</v>
      </c>
      <c r="O42" s="243">
        <f>ROUND(N42/12,2)</f>
        <v>9.92</v>
      </c>
    </row>
    <row r="43" spans="1:15" x14ac:dyDescent="0.25">
      <c r="A43" s="510"/>
      <c r="B43" s="242">
        <v>6</v>
      </c>
      <c r="C43" s="243">
        <f t="shared" ref="C43:C50" si="2">O43</f>
        <v>11.84</v>
      </c>
      <c r="D43" s="244">
        <v>0.1047</v>
      </c>
      <c r="E43" s="260"/>
      <c r="N43" s="243">
        <v>142.08000000000001</v>
      </c>
      <c r="O43" s="243">
        <f t="shared" ref="O43:O50" si="3">ROUND(N43/12,2)</f>
        <v>11.84</v>
      </c>
    </row>
    <row r="44" spans="1:15" x14ac:dyDescent="0.25">
      <c r="A44" s="510"/>
      <c r="B44" s="242">
        <v>9</v>
      </c>
      <c r="C44" s="243">
        <f t="shared" si="2"/>
        <v>13.49</v>
      </c>
      <c r="D44" s="244">
        <v>0.1047</v>
      </c>
      <c r="E44" s="260"/>
      <c r="N44" s="243">
        <v>161.88</v>
      </c>
      <c r="O44" s="243">
        <f t="shared" si="3"/>
        <v>13.49</v>
      </c>
    </row>
    <row r="45" spans="1:15" x14ac:dyDescent="0.25">
      <c r="A45" s="510"/>
      <c r="B45" s="242">
        <v>12</v>
      </c>
      <c r="C45" s="243">
        <f t="shared" si="2"/>
        <v>15.34</v>
      </c>
      <c r="D45" s="244">
        <v>0.1047</v>
      </c>
      <c r="E45" s="260"/>
      <c r="N45" s="243">
        <v>184.08</v>
      </c>
      <c r="O45" s="243">
        <f t="shared" si="3"/>
        <v>15.34</v>
      </c>
    </row>
    <row r="46" spans="1:15" x14ac:dyDescent="0.25">
      <c r="A46" s="510"/>
      <c r="B46" s="242">
        <v>15</v>
      </c>
      <c r="C46" s="243">
        <f t="shared" si="2"/>
        <v>16.91</v>
      </c>
      <c r="D46" s="244">
        <v>0.1047</v>
      </c>
      <c r="E46" s="260"/>
      <c r="N46" s="243">
        <v>202.92</v>
      </c>
      <c r="O46" s="243">
        <f t="shared" si="3"/>
        <v>16.91</v>
      </c>
    </row>
    <row r="47" spans="1:15" x14ac:dyDescent="0.25">
      <c r="A47" s="510"/>
      <c r="B47" s="242">
        <v>18</v>
      </c>
      <c r="C47" s="243">
        <f t="shared" si="2"/>
        <v>18.61</v>
      </c>
      <c r="D47" s="244">
        <v>0.1047</v>
      </c>
      <c r="E47" s="260"/>
      <c r="N47" s="243">
        <v>223.32</v>
      </c>
      <c r="O47" s="243">
        <f t="shared" si="3"/>
        <v>18.61</v>
      </c>
    </row>
    <row r="48" spans="1:15" x14ac:dyDescent="0.25">
      <c r="A48" s="510"/>
      <c r="B48" s="242">
        <v>24</v>
      </c>
      <c r="C48" s="243">
        <f t="shared" si="2"/>
        <v>22.46</v>
      </c>
      <c r="D48" s="244">
        <v>0.1047</v>
      </c>
      <c r="E48" s="260"/>
      <c r="N48" s="243">
        <v>269.52</v>
      </c>
      <c r="O48" s="243">
        <f t="shared" si="3"/>
        <v>22.46</v>
      </c>
    </row>
    <row r="49" spans="1:15" x14ac:dyDescent="0.25">
      <c r="A49" s="510"/>
      <c r="B49" s="242">
        <v>30</v>
      </c>
      <c r="C49" s="243">
        <f t="shared" si="2"/>
        <v>25.87</v>
      </c>
      <c r="D49" s="244">
        <v>0.1047</v>
      </c>
      <c r="E49" s="260"/>
      <c r="N49" s="243">
        <v>310.44</v>
      </c>
      <c r="O49" s="243">
        <f t="shared" si="3"/>
        <v>25.87</v>
      </c>
    </row>
    <row r="50" spans="1:15" x14ac:dyDescent="0.25">
      <c r="A50" s="510"/>
      <c r="B50" s="242">
        <v>36</v>
      </c>
      <c r="C50" s="243">
        <f t="shared" si="2"/>
        <v>29.5</v>
      </c>
      <c r="D50" s="244">
        <v>0.1047</v>
      </c>
      <c r="E50" s="260"/>
      <c r="N50" s="243">
        <v>354</v>
      </c>
      <c r="O50" s="243">
        <f t="shared" si="3"/>
        <v>29.5</v>
      </c>
    </row>
    <row r="51" spans="1:15" x14ac:dyDescent="0.25">
      <c r="A51" s="510"/>
      <c r="B51" s="177"/>
      <c r="C51" s="177"/>
      <c r="D51" s="177"/>
      <c r="E51" s="260"/>
    </row>
    <row r="52" spans="1:15" ht="15.75" x14ac:dyDescent="0.25">
      <c r="A52" s="510"/>
      <c r="B52" s="212" t="s">
        <v>29</v>
      </c>
      <c r="C52" s="177"/>
      <c r="D52" s="177"/>
      <c r="E52" s="260"/>
    </row>
    <row r="53" spans="1:15" x14ac:dyDescent="0.25">
      <c r="A53" s="510"/>
      <c r="B53" s="177"/>
      <c r="C53" s="177"/>
      <c r="D53" s="177"/>
      <c r="E53" s="260"/>
    </row>
    <row r="54" spans="1:15" x14ac:dyDescent="0.25">
      <c r="A54" s="510"/>
      <c r="B54" s="508" t="s">
        <v>80</v>
      </c>
      <c r="C54" s="508"/>
      <c r="D54" s="508"/>
      <c r="E54" s="512"/>
    </row>
    <row r="55" spans="1:15" ht="30" x14ac:dyDescent="0.25">
      <c r="A55" s="510"/>
      <c r="B55" s="240" t="s">
        <v>26</v>
      </c>
      <c r="C55" s="241" t="s">
        <v>44</v>
      </c>
      <c r="D55" s="241" t="s">
        <v>42</v>
      </c>
      <c r="E55" s="262" t="s">
        <v>43</v>
      </c>
      <c r="N55" s="241" t="s">
        <v>136</v>
      </c>
      <c r="O55" s="241" t="s">
        <v>44</v>
      </c>
    </row>
    <row r="56" spans="1:15" x14ac:dyDescent="0.25">
      <c r="A56" s="510"/>
      <c r="B56" s="242">
        <v>6</v>
      </c>
      <c r="C56" s="249">
        <f>O56</f>
        <v>11.78</v>
      </c>
      <c r="D56" s="250">
        <v>0.114</v>
      </c>
      <c r="E56" s="263">
        <v>7.9200000000000007E-2</v>
      </c>
      <c r="N56" s="249">
        <v>141.36000000000001</v>
      </c>
      <c r="O56" s="243">
        <f>ROUND(N56/12,2)</f>
        <v>11.78</v>
      </c>
    </row>
    <row r="57" spans="1:15" x14ac:dyDescent="0.25">
      <c r="A57" s="510"/>
      <c r="B57" s="242">
        <v>9</v>
      </c>
      <c r="C57" s="249">
        <f>O57</f>
        <v>13.53</v>
      </c>
      <c r="D57" s="250">
        <v>0.114</v>
      </c>
      <c r="E57" s="263">
        <v>7.9200000000000007E-2</v>
      </c>
      <c r="N57" s="249">
        <v>162.36000000000001</v>
      </c>
      <c r="O57" s="243">
        <f t="shared" ref="O57:O63" si="4">ROUND(N57/12,2)</f>
        <v>13.53</v>
      </c>
    </row>
    <row r="58" spans="1:15" x14ac:dyDescent="0.25">
      <c r="A58" s="510"/>
      <c r="B58" s="242">
        <v>12</v>
      </c>
      <c r="C58" s="249">
        <f t="shared" ref="C58:C63" si="5">O58</f>
        <v>15.31</v>
      </c>
      <c r="D58" s="250">
        <v>0.114</v>
      </c>
      <c r="E58" s="263">
        <v>7.9200000000000007E-2</v>
      </c>
      <c r="N58" s="249">
        <v>183.72</v>
      </c>
      <c r="O58" s="243">
        <f t="shared" si="4"/>
        <v>15.31</v>
      </c>
    </row>
    <row r="59" spans="1:15" x14ac:dyDescent="0.25">
      <c r="A59" s="510"/>
      <c r="B59" s="242">
        <v>15</v>
      </c>
      <c r="C59" s="249">
        <f t="shared" si="5"/>
        <v>17.12</v>
      </c>
      <c r="D59" s="250">
        <v>0.114</v>
      </c>
      <c r="E59" s="263">
        <v>7.9200000000000007E-2</v>
      </c>
      <c r="H59" s="173"/>
      <c r="N59" s="249">
        <v>205.44</v>
      </c>
      <c r="O59" s="243">
        <f t="shared" si="4"/>
        <v>17.12</v>
      </c>
    </row>
    <row r="60" spans="1:15" x14ac:dyDescent="0.25">
      <c r="A60" s="510"/>
      <c r="B60" s="242">
        <v>18</v>
      </c>
      <c r="C60" s="249">
        <f t="shared" si="5"/>
        <v>18.77</v>
      </c>
      <c r="D60" s="250">
        <v>0.114</v>
      </c>
      <c r="E60" s="263">
        <v>7.9200000000000007E-2</v>
      </c>
      <c r="H60" s="173"/>
      <c r="N60" s="249">
        <v>225.24</v>
      </c>
      <c r="O60" s="243">
        <f t="shared" si="4"/>
        <v>18.77</v>
      </c>
    </row>
    <row r="61" spans="1:15" x14ac:dyDescent="0.25">
      <c r="A61" s="510"/>
      <c r="B61" s="242">
        <v>24</v>
      </c>
      <c r="C61" s="249">
        <f t="shared" si="5"/>
        <v>22.57</v>
      </c>
      <c r="D61" s="250">
        <v>0.114</v>
      </c>
      <c r="E61" s="263">
        <v>7.9200000000000007E-2</v>
      </c>
      <c r="H61" s="173"/>
      <c r="N61" s="249">
        <v>270.83999999999997</v>
      </c>
      <c r="O61" s="243">
        <f t="shared" si="4"/>
        <v>22.57</v>
      </c>
    </row>
    <row r="62" spans="1:15" x14ac:dyDescent="0.25">
      <c r="A62" s="510"/>
      <c r="B62" s="242">
        <v>30</v>
      </c>
      <c r="C62" s="249">
        <f t="shared" si="5"/>
        <v>25.98</v>
      </c>
      <c r="D62" s="250">
        <v>0.114</v>
      </c>
      <c r="E62" s="263">
        <v>7.9200000000000007E-2</v>
      </c>
      <c r="H62" s="173"/>
      <c r="N62" s="249">
        <v>311.76</v>
      </c>
      <c r="O62" s="243">
        <f t="shared" si="4"/>
        <v>25.98</v>
      </c>
    </row>
    <row r="63" spans="1:15" ht="15.75" thickBot="1" x14ac:dyDescent="0.3">
      <c r="A63" s="511"/>
      <c r="B63" s="264">
        <v>36</v>
      </c>
      <c r="C63" s="252">
        <f t="shared" si="5"/>
        <v>29.35</v>
      </c>
      <c r="D63" s="253">
        <v>0.114</v>
      </c>
      <c r="E63" s="254">
        <v>7.9200000000000007E-2</v>
      </c>
      <c r="H63" s="173"/>
      <c r="N63" s="252">
        <v>352.2</v>
      </c>
      <c r="O63" s="362">
        <f t="shared" si="4"/>
        <v>29.35</v>
      </c>
    </row>
  </sheetData>
  <sheetProtection algorithmName="SHA-512" hashValue="3ZgpRh68wjM3HfXi3hn0/1MOg7mvLoL7lEIxjs4z4SZIcnmRjgCKv9RGNELzZSnAHZpRdPmOSG6szbucn2wDbQ==" saltValue="b4WW0OlCAGkSp+f3uKCZ2A==" spinCount="100000" sheet="1" selectLockedCells="1"/>
  <mergeCells count="11">
    <mergeCell ref="A1:E1"/>
    <mergeCell ref="C32:E32"/>
    <mergeCell ref="A36:E36"/>
    <mergeCell ref="B40:D40"/>
    <mergeCell ref="A41:A63"/>
    <mergeCell ref="B54:E54"/>
    <mergeCell ref="A3:E3"/>
    <mergeCell ref="A8:A30"/>
    <mergeCell ref="B4:D4"/>
    <mergeCell ref="B7:D7"/>
    <mergeCell ref="B21:E21"/>
  </mergeCells>
  <printOptions horizontalCentered="1" verticalCentered="1"/>
  <pageMargins left="0.19685039370078741" right="0.19685039370078741" top="0.19685039370078741" bottom="0.19685039370078741"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1E7D-0A2E-4D86-A2E8-B4E11206FE77}">
  <sheetPr codeName="Feuil6">
    <tabColor rgb="FF0099FF"/>
  </sheetPr>
  <dimension ref="A1:F60"/>
  <sheetViews>
    <sheetView showGridLines="0" showRowColHeaders="0" zoomScaleNormal="100" workbookViewId="0">
      <selection activeCell="L22" sqref="L22"/>
    </sheetView>
  </sheetViews>
  <sheetFormatPr baseColWidth="10" defaultRowHeight="15" x14ac:dyDescent="0.25"/>
  <cols>
    <col min="1" max="1" width="8.7109375" style="11" customWidth="1"/>
    <col min="2" max="5" width="18.7109375" style="11" customWidth="1"/>
    <col min="6" max="6" width="3.7109375" style="11" customWidth="1"/>
    <col min="7" max="7" width="11.42578125" style="11"/>
    <col min="8" max="8" width="13.7109375" style="11" bestFit="1" customWidth="1"/>
    <col min="9" max="9" width="11.42578125" style="11"/>
    <col min="10" max="10" width="13.7109375" style="11" bestFit="1" customWidth="1"/>
    <col min="11" max="16384" width="11.42578125" style="11"/>
  </cols>
  <sheetData>
    <row r="1" spans="1:6" ht="34.5" thickBot="1" x14ac:dyDescent="0.3">
      <c r="A1" s="531" t="str">
        <f>CONCATENATE("Grilles tarifaires ",A8)</f>
        <v>Grilles tarifaires Méga Energie</v>
      </c>
      <c r="B1" s="531"/>
      <c r="C1" s="531"/>
      <c r="D1" s="531"/>
      <c r="E1" s="531"/>
      <c r="F1" s="223"/>
    </row>
    <row r="2" spans="1:6" x14ac:dyDescent="0.25">
      <c r="A2" s="137"/>
      <c r="B2" s="138"/>
      <c r="C2" s="138"/>
      <c r="D2" s="138"/>
      <c r="E2" s="139"/>
    </row>
    <row r="3" spans="1:6" ht="23.25" x14ac:dyDescent="0.35">
      <c r="A3" s="532" t="str">
        <f>"OFFRE Particulier valable jusqu'au " &amp; TEXT(E5,"JJ/MM/AAAA")</f>
        <v>OFFRE Particulier valable jusqu'au 30/04/2021</v>
      </c>
      <c r="B3" s="533"/>
      <c r="C3" s="533"/>
      <c r="D3" s="533"/>
      <c r="E3" s="534"/>
    </row>
    <row r="4" spans="1:6" x14ac:dyDescent="0.25">
      <c r="A4" s="62"/>
      <c r="B4" s="65"/>
      <c r="C4" s="65"/>
      <c r="D4" s="65"/>
      <c r="E4" s="63"/>
    </row>
    <row r="5" spans="1:6" ht="15.75" x14ac:dyDescent="0.25">
      <c r="A5" s="62"/>
      <c r="B5" s="64" t="s">
        <v>131</v>
      </c>
      <c r="C5" s="38"/>
      <c r="D5" s="113" t="s">
        <v>92</v>
      </c>
      <c r="E5" s="114">
        <v>44316</v>
      </c>
    </row>
    <row r="6" spans="1:6" x14ac:dyDescent="0.25">
      <c r="A6" s="62"/>
      <c r="B6" s="38"/>
      <c r="C6" s="38"/>
      <c r="D6" s="65"/>
      <c r="E6" s="66"/>
    </row>
    <row r="7" spans="1:6" ht="15.75" customHeight="1" thickBot="1" x14ac:dyDescent="0.3">
      <c r="A7" s="62"/>
      <c r="B7" s="529" t="s">
        <v>31</v>
      </c>
      <c r="C7" s="529"/>
      <c r="D7" s="529"/>
      <c r="E7" s="66"/>
    </row>
    <row r="8" spans="1:6" ht="30" customHeight="1" x14ac:dyDescent="0.25">
      <c r="A8" s="526" t="s">
        <v>146</v>
      </c>
      <c r="B8" s="107" t="s">
        <v>26</v>
      </c>
      <c r="C8" s="70" t="s">
        <v>44</v>
      </c>
      <c r="D8" s="107" t="s">
        <v>41</v>
      </c>
      <c r="E8" s="66"/>
    </row>
    <row r="9" spans="1:6" x14ac:dyDescent="0.25">
      <c r="A9" s="527"/>
      <c r="B9" s="35">
        <v>3</v>
      </c>
      <c r="C9" s="124">
        <f>EDF!C9</f>
        <v>6.91</v>
      </c>
      <c r="D9" s="125">
        <f>EDF!D9*0.82</f>
        <v>8.1507999999999997E-2</v>
      </c>
      <c r="E9" s="66"/>
    </row>
    <row r="10" spans="1:6" x14ac:dyDescent="0.25">
      <c r="A10" s="527"/>
      <c r="B10" s="35">
        <v>6</v>
      </c>
      <c r="C10" s="124">
        <f>EDF!C10</f>
        <v>8.4600000000000009</v>
      </c>
      <c r="D10" s="125">
        <f>EDF!D10*0.82</f>
        <v>8.1507999999999997E-2</v>
      </c>
      <c r="E10" s="66"/>
    </row>
    <row r="11" spans="1:6" x14ac:dyDescent="0.25">
      <c r="A11" s="527"/>
      <c r="B11" s="35">
        <v>9</v>
      </c>
      <c r="C11" s="124">
        <f>EDF!C11</f>
        <v>10.02</v>
      </c>
      <c r="D11" s="125">
        <f>EDF!D11*0.82</f>
        <v>8.4788000000000002E-2</v>
      </c>
      <c r="E11" s="66"/>
    </row>
    <row r="12" spans="1:6" x14ac:dyDescent="0.25">
      <c r="A12" s="527"/>
      <c r="B12" s="35">
        <v>12</v>
      </c>
      <c r="C12" s="124">
        <f>EDF!C12</f>
        <v>11.56</v>
      </c>
      <c r="D12" s="125">
        <f>EDF!D12*0.82</f>
        <v>8.4788000000000002E-2</v>
      </c>
      <c r="E12" s="66"/>
    </row>
    <row r="13" spans="1:6" x14ac:dyDescent="0.25">
      <c r="A13" s="527"/>
      <c r="B13" s="35">
        <v>15</v>
      </c>
      <c r="C13" s="124">
        <f>EDF!C13</f>
        <v>13.06</v>
      </c>
      <c r="D13" s="125">
        <f>EDF!D13*0.82</f>
        <v>8.4788000000000002E-2</v>
      </c>
      <c r="E13" s="66"/>
    </row>
    <row r="14" spans="1:6" x14ac:dyDescent="0.25">
      <c r="A14" s="527"/>
      <c r="B14" s="50">
        <v>18</v>
      </c>
      <c r="C14" s="124">
        <f>EDF!C14</f>
        <v>14.59</v>
      </c>
      <c r="D14" s="125">
        <f>EDF!D14*0.82</f>
        <v>8.4788000000000002E-2</v>
      </c>
      <c r="E14" s="66"/>
    </row>
    <row r="15" spans="1:6" x14ac:dyDescent="0.25">
      <c r="A15" s="527"/>
      <c r="B15" s="50">
        <v>24</v>
      </c>
      <c r="C15" s="124">
        <f>EDF!C15</f>
        <v>18.02</v>
      </c>
      <c r="D15" s="125">
        <f>EDF!D15*0.82</f>
        <v>8.4788000000000002E-2</v>
      </c>
      <c r="E15" s="66"/>
    </row>
    <row r="16" spans="1:6" x14ac:dyDescent="0.25">
      <c r="A16" s="527"/>
      <c r="B16" s="50">
        <v>30</v>
      </c>
      <c r="C16" s="124">
        <f>EDF!C16</f>
        <v>21.64</v>
      </c>
      <c r="D16" s="125">
        <f>EDF!D16*0.82</f>
        <v>8.4788000000000002E-2</v>
      </c>
      <c r="E16" s="66"/>
    </row>
    <row r="17" spans="1:6" x14ac:dyDescent="0.25">
      <c r="A17" s="527"/>
      <c r="B17" s="50">
        <v>36</v>
      </c>
      <c r="C17" s="124">
        <f>EDF!C17</f>
        <v>24.09</v>
      </c>
      <c r="D17" s="125">
        <f>EDF!D17*0.82</f>
        <v>8.4788000000000002E-2</v>
      </c>
      <c r="E17" s="66"/>
    </row>
    <row r="18" spans="1:6" x14ac:dyDescent="0.25">
      <c r="A18" s="527"/>
      <c r="B18" s="65"/>
      <c r="C18" s="65"/>
      <c r="D18" s="65"/>
      <c r="E18" s="66"/>
    </row>
    <row r="19" spans="1:6" ht="15.75" x14ac:dyDescent="0.25">
      <c r="A19" s="527"/>
      <c r="B19" s="64" t="s">
        <v>132</v>
      </c>
      <c r="C19" s="38"/>
      <c r="D19" s="38"/>
      <c r="E19" s="66"/>
    </row>
    <row r="20" spans="1:6" x14ac:dyDescent="0.25">
      <c r="A20" s="527"/>
      <c r="B20" s="38"/>
      <c r="C20" s="38"/>
      <c r="D20" s="38"/>
      <c r="E20" s="66"/>
    </row>
    <row r="21" spans="1:6" ht="15.75" customHeight="1" x14ac:dyDescent="0.25">
      <c r="A21" s="527"/>
      <c r="B21" s="523" t="s">
        <v>128</v>
      </c>
      <c r="C21" s="529"/>
      <c r="D21" s="529"/>
      <c r="E21" s="530"/>
      <c r="F21" s="38"/>
    </row>
    <row r="22" spans="1:6" ht="30" customHeight="1" x14ac:dyDescent="0.25">
      <c r="A22" s="527"/>
      <c r="B22" s="70" t="s">
        <v>26</v>
      </c>
      <c r="C22" s="70" t="s">
        <v>44</v>
      </c>
      <c r="D22" s="70" t="s">
        <v>42</v>
      </c>
      <c r="E22" s="71" t="s">
        <v>43</v>
      </c>
    </row>
    <row r="23" spans="1:6" x14ac:dyDescent="0.25">
      <c r="A23" s="527"/>
      <c r="B23" s="35">
        <v>6</v>
      </c>
      <c r="C23" s="128">
        <f>EDF!C23</f>
        <v>9.02</v>
      </c>
      <c r="D23" s="129">
        <f>EDF!D23*0.82</f>
        <v>0.10003999999999999</v>
      </c>
      <c r="E23" s="140">
        <f>EDF!E23*0.82</f>
        <v>6.5845999999999988E-2</v>
      </c>
    </row>
    <row r="24" spans="1:6" x14ac:dyDescent="0.25">
      <c r="A24" s="527"/>
      <c r="B24" s="35">
        <v>9</v>
      </c>
      <c r="C24" s="128">
        <f>EDF!C24</f>
        <v>11.03</v>
      </c>
      <c r="D24" s="129">
        <f>EDF!D24*0.82</f>
        <v>0.10003999999999999</v>
      </c>
      <c r="E24" s="140">
        <f>EDF!E24*0.82</f>
        <v>6.5845999999999988E-2</v>
      </c>
    </row>
    <row r="25" spans="1:6" x14ac:dyDescent="0.25">
      <c r="A25" s="527"/>
      <c r="B25" s="35">
        <v>12</v>
      </c>
      <c r="C25" s="128">
        <f>EDF!C25</f>
        <v>12.92</v>
      </c>
      <c r="D25" s="129">
        <f>EDF!D25*0.82</f>
        <v>0.10003999999999999</v>
      </c>
      <c r="E25" s="140">
        <f>EDF!E25*0.82</f>
        <v>6.5845999999999988E-2</v>
      </c>
    </row>
    <row r="26" spans="1:6" x14ac:dyDescent="0.25">
      <c r="A26" s="527"/>
      <c r="B26" s="35">
        <v>15</v>
      </c>
      <c r="C26" s="128">
        <f>EDF!C26</f>
        <v>14.66</v>
      </c>
      <c r="D26" s="129">
        <f>EDF!D26*0.82</f>
        <v>0.10003999999999999</v>
      </c>
      <c r="E26" s="140">
        <f>EDF!E26*0.82</f>
        <v>6.5845999999999988E-2</v>
      </c>
    </row>
    <row r="27" spans="1:6" x14ac:dyDescent="0.25">
      <c r="A27" s="527"/>
      <c r="B27" s="35">
        <v>18</v>
      </c>
      <c r="C27" s="128">
        <f>EDF!C27</f>
        <v>16.21</v>
      </c>
      <c r="D27" s="129">
        <f>EDF!D27*0.82</f>
        <v>0.10003999999999999</v>
      </c>
      <c r="E27" s="140">
        <f>EDF!E27*0.82</f>
        <v>6.5845999999999988E-2</v>
      </c>
    </row>
    <row r="28" spans="1:6" x14ac:dyDescent="0.25">
      <c r="A28" s="527"/>
      <c r="B28" s="35">
        <v>24</v>
      </c>
      <c r="C28" s="128">
        <f>EDF!C28</f>
        <v>19.89</v>
      </c>
      <c r="D28" s="129">
        <f>EDF!D28*0.82</f>
        <v>0.10003999999999999</v>
      </c>
      <c r="E28" s="140">
        <f>EDF!E28*0.82</f>
        <v>6.5845999999999988E-2</v>
      </c>
    </row>
    <row r="29" spans="1:6" x14ac:dyDescent="0.25">
      <c r="A29" s="527"/>
      <c r="B29" s="35">
        <v>30</v>
      </c>
      <c r="C29" s="128">
        <f>EDF!C29</f>
        <v>23.09</v>
      </c>
      <c r="D29" s="129">
        <f>EDF!D29*0.82</f>
        <v>0.10003999999999999</v>
      </c>
      <c r="E29" s="140">
        <f>EDF!E29*0.82</f>
        <v>6.5845999999999988E-2</v>
      </c>
    </row>
    <row r="30" spans="1:6" ht="15.75" thickBot="1" x14ac:dyDescent="0.3">
      <c r="A30" s="528"/>
      <c r="B30" s="369">
        <v>36</v>
      </c>
      <c r="C30" s="141">
        <f>EDF!C30</f>
        <v>26.02</v>
      </c>
      <c r="D30" s="363">
        <f>EDF!D30*0.82</f>
        <v>0.10003999999999999</v>
      </c>
      <c r="E30" s="364">
        <f>EDF!E30*0.82</f>
        <v>6.5845999999999988E-2</v>
      </c>
    </row>
    <row r="31" spans="1:6" ht="15.75" thickBot="1" x14ac:dyDescent="0.3"/>
    <row r="32" spans="1:6" x14ac:dyDescent="0.25">
      <c r="A32" s="130"/>
      <c r="B32" s="131"/>
      <c r="C32" s="131"/>
      <c r="D32" s="131"/>
      <c r="E32" s="132"/>
    </row>
    <row r="33" spans="1:5" ht="23.25" x14ac:dyDescent="0.35">
      <c r="A33" s="535" t="str">
        <f>"OFFRE Professionnel valable jusqu'au " &amp; TEXT(E5,"JJ/MM/AAAA")</f>
        <v>OFFRE Professionnel valable jusqu'au 30/04/2021</v>
      </c>
      <c r="B33" s="536"/>
      <c r="C33" s="536"/>
      <c r="D33" s="536"/>
      <c r="E33" s="537"/>
    </row>
    <row r="34" spans="1:5" x14ac:dyDescent="0.25">
      <c r="A34" s="67"/>
      <c r="B34" s="65"/>
      <c r="C34" s="65"/>
      <c r="D34" s="65"/>
      <c r="E34" s="68"/>
    </row>
    <row r="35" spans="1:5" ht="15.75" x14ac:dyDescent="0.25">
      <c r="A35" s="67"/>
      <c r="B35" s="64" t="s">
        <v>133</v>
      </c>
      <c r="C35" s="65"/>
      <c r="D35" s="65"/>
      <c r="E35" s="68"/>
    </row>
    <row r="36" spans="1:5" x14ac:dyDescent="0.25">
      <c r="A36" s="67"/>
      <c r="B36" s="65"/>
      <c r="C36" s="65"/>
      <c r="D36" s="65"/>
      <c r="E36" s="68"/>
    </row>
    <row r="37" spans="1:5" ht="15.75" thickBot="1" x14ac:dyDescent="0.3">
      <c r="A37" s="67"/>
      <c r="B37" s="529" t="s">
        <v>81</v>
      </c>
      <c r="C37" s="529"/>
      <c r="D37" s="529"/>
      <c r="E37" s="102"/>
    </row>
    <row r="38" spans="1:5" ht="30" x14ac:dyDescent="0.25">
      <c r="A38" s="520" t="s">
        <v>137</v>
      </c>
      <c r="B38" s="72" t="s">
        <v>26</v>
      </c>
      <c r="C38" s="72" t="s">
        <v>44</v>
      </c>
      <c r="D38" s="72" t="s">
        <v>41</v>
      </c>
      <c r="E38" s="68"/>
    </row>
    <row r="39" spans="1:5" x14ac:dyDescent="0.25">
      <c r="A39" s="521"/>
      <c r="B39" s="35">
        <v>3</v>
      </c>
      <c r="C39" s="124"/>
      <c r="D39" s="125"/>
      <c r="E39" s="68"/>
    </row>
    <row r="40" spans="1:5" x14ac:dyDescent="0.25">
      <c r="A40" s="521"/>
      <c r="B40" s="35">
        <v>6</v>
      </c>
      <c r="C40" s="124"/>
      <c r="D40" s="125"/>
      <c r="E40" s="68"/>
    </row>
    <row r="41" spans="1:5" x14ac:dyDescent="0.25">
      <c r="A41" s="521"/>
      <c r="B41" s="35">
        <v>9</v>
      </c>
      <c r="C41" s="124"/>
      <c r="D41" s="125"/>
      <c r="E41" s="68"/>
    </row>
    <row r="42" spans="1:5" x14ac:dyDescent="0.25">
      <c r="A42" s="521"/>
      <c r="B42" s="35">
        <v>12</v>
      </c>
      <c r="C42" s="124"/>
      <c r="D42" s="125"/>
      <c r="E42" s="68"/>
    </row>
    <row r="43" spans="1:5" x14ac:dyDescent="0.25">
      <c r="A43" s="521"/>
      <c r="B43" s="35">
        <v>15</v>
      </c>
      <c r="C43" s="124"/>
      <c r="D43" s="125"/>
      <c r="E43" s="68"/>
    </row>
    <row r="44" spans="1:5" x14ac:dyDescent="0.25">
      <c r="A44" s="521"/>
      <c r="B44" s="50">
        <v>18</v>
      </c>
      <c r="C44" s="126"/>
      <c r="D44" s="127"/>
      <c r="E44" s="68"/>
    </row>
    <row r="45" spans="1:5" x14ac:dyDescent="0.25">
      <c r="A45" s="521"/>
      <c r="B45" s="50">
        <v>24</v>
      </c>
      <c r="C45" s="126"/>
      <c r="D45" s="127"/>
      <c r="E45" s="68"/>
    </row>
    <row r="46" spans="1:5" x14ac:dyDescent="0.25">
      <c r="A46" s="521"/>
      <c r="B46" s="50">
        <v>30</v>
      </c>
      <c r="C46" s="126"/>
      <c r="D46" s="127"/>
      <c r="E46" s="68"/>
    </row>
    <row r="47" spans="1:5" x14ac:dyDescent="0.25">
      <c r="A47" s="521"/>
      <c r="B47" s="50">
        <v>36</v>
      </c>
      <c r="C47" s="126"/>
      <c r="D47" s="127"/>
      <c r="E47" s="68"/>
    </row>
    <row r="48" spans="1:5" x14ac:dyDescent="0.25">
      <c r="A48" s="521"/>
      <c r="B48" s="65"/>
      <c r="C48" s="65"/>
      <c r="D48" s="65"/>
      <c r="E48" s="68"/>
    </row>
    <row r="49" spans="1:5" ht="15.75" x14ac:dyDescent="0.25">
      <c r="A49" s="521"/>
      <c r="B49" s="64" t="s">
        <v>134</v>
      </c>
      <c r="C49" s="38"/>
      <c r="D49" s="38"/>
      <c r="E49" s="68"/>
    </row>
    <row r="50" spans="1:5" x14ac:dyDescent="0.25">
      <c r="A50" s="521"/>
      <c r="B50" s="38"/>
      <c r="C50" s="38"/>
      <c r="D50" s="38"/>
      <c r="E50" s="68"/>
    </row>
    <row r="51" spans="1:5" x14ac:dyDescent="0.25">
      <c r="A51" s="521"/>
      <c r="B51" s="523" t="s">
        <v>129</v>
      </c>
      <c r="C51" s="524"/>
      <c r="D51" s="524"/>
      <c r="E51" s="525"/>
    </row>
    <row r="52" spans="1:5" ht="30" x14ac:dyDescent="0.25">
      <c r="A52" s="521"/>
      <c r="B52" s="72" t="s">
        <v>26</v>
      </c>
      <c r="C52" s="72" t="s">
        <v>44</v>
      </c>
      <c r="D52" s="72" t="s">
        <v>42</v>
      </c>
      <c r="E52" s="73" t="s">
        <v>43</v>
      </c>
    </row>
    <row r="53" spans="1:5" x14ac:dyDescent="0.25">
      <c r="A53" s="521"/>
      <c r="B53" s="35">
        <v>6</v>
      </c>
      <c r="C53" s="128"/>
      <c r="D53" s="129"/>
      <c r="E53" s="133"/>
    </row>
    <row r="54" spans="1:5" x14ac:dyDescent="0.25">
      <c r="A54" s="521"/>
      <c r="B54" s="35">
        <v>9</v>
      </c>
      <c r="C54" s="128"/>
      <c r="D54" s="129"/>
      <c r="E54" s="133"/>
    </row>
    <row r="55" spans="1:5" x14ac:dyDescent="0.25">
      <c r="A55" s="521"/>
      <c r="B55" s="35">
        <v>12</v>
      </c>
      <c r="C55" s="128"/>
      <c r="D55" s="129"/>
      <c r="E55" s="133"/>
    </row>
    <row r="56" spans="1:5" x14ac:dyDescent="0.25">
      <c r="A56" s="521"/>
      <c r="B56" s="35">
        <v>15</v>
      </c>
      <c r="C56" s="128"/>
      <c r="D56" s="129"/>
      <c r="E56" s="133"/>
    </row>
    <row r="57" spans="1:5" x14ac:dyDescent="0.25">
      <c r="A57" s="521"/>
      <c r="B57" s="35">
        <v>18</v>
      </c>
      <c r="C57" s="128"/>
      <c r="D57" s="129"/>
      <c r="E57" s="133"/>
    </row>
    <row r="58" spans="1:5" x14ac:dyDescent="0.25">
      <c r="A58" s="521"/>
      <c r="B58" s="35">
        <v>24</v>
      </c>
      <c r="C58" s="128"/>
      <c r="D58" s="129"/>
      <c r="E58" s="133"/>
    </row>
    <row r="59" spans="1:5" x14ac:dyDescent="0.25">
      <c r="A59" s="521"/>
      <c r="B59" s="35">
        <v>30</v>
      </c>
      <c r="C59" s="128"/>
      <c r="D59" s="129"/>
      <c r="E59" s="133"/>
    </row>
    <row r="60" spans="1:5" ht="15.75" thickBot="1" x14ac:dyDescent="0.3">
      <c r="A60" s="522"/>
      <c r="B60" s="69">
        <v>36</v>
      </c>
      <c r="C60" s="134"/>
      <c r="D60" s="135"/>
      <c r="E60" s="136"/>
    </row>
  </sheetData>
  <sheetProtection algorithmName="SHA-512" hashValue="kyjX+6qC/TtpI5i5fM5wksF7MuzRqAUTxzgJINRAbzW6bd8PER3UlUm32AKkeC1uSGOi6dHds9eeUVCgRMlwAQ==" saltValue="32K5Tp+GNHtuxT5BuezVfw==" spinCount="100000" sheet="1" selectLockedCells="1"/>
  <mergeCells count="9">
    <mergeCell ref="A38:A60"/>
    <mergeCell ref="B51:E51"/>
    <mergeCell ref="A8:A30"/>
    <mergeCell ref="B21:E21"/>
    <mergeCell ref="A1:E1"/>
    <mergeCell ref="A3:E3"/>
    <mergeCell ref="B7:D7"/>
    <mergeCell ref="A33:E33"/>
    <mergeCell ref="B37:D37"/>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075C6-B446-4D92-829C-0F6C27479D5E}">
  <sheetPr codeName="Feuil10">
    <tabColor rgb="FFFF99FF"/>
    <pageSetUpPr fitToPage="1"/>
  </sheetPr>
  <dimension ref="A2:J34"/>
  <sheetViews>
    <sheetView showGridLines="0" showRowColHeaders="0" zoomScaleNormal="100" workbookViewId="0">
      <selection activeCell="G5" sqref="G5"/>
    </sheetView>
  </sheetViews>
  <sheetFormatPr baseColWidth="10" defaultRowHeight="15" x14ac:dyDescent="0.25"/>
  <cols>
    <col min="1" max="1" width="11.42578125" style="175"/>
    <col min="2" max="2" width="12.7109375" style="175" bestFit="1" customWidth="1"/>
    <col min="3" max="3" width="25.140625" style="175" customWidth="1"/>
    <col min="4" max="7" width="20.7109375" style="175" customWidth="1"/>
    <col min="8" max="8" width="11.42578125" style="175"/>
    <col min="9" max="9" width="14.7109375" style="175" hidden="1" customWidth="1"/>
    <col min="10" max="10" width="12.7109375" style="175" hidden="1" customWidth="1"/>
    <col min="11" max="16384" width="11.42578125" style="175"/>
  </cols>
  <sheetData>
    <row r="2" spans="1:10" ht="28.5" x14ac:dyDescent="0.25">
      <c r="A2" s="538" t="str">
        <f>CONCATENATE("Grille tarifaire ",A8)</f>
        <v>Grille tarifaire ENGIE</v>
      </c>
      <c r="B2" s="538"/>
      <c r="C2" s="538"/>
      <c r="D2" s="538"/>
      <c r="E2" s="538"/>
      <c r="F2" s="538"/>
      <c r="G2" s="538"/>
    </row>
    <row r="3" spans="1:10" x14ac:dyDescent="0.25">
      <c r="A3" s="174"/>
      <c r="B3" s="204"/>
      <c r="C3" s="204"/>
      <c r="D3" s="204"/>
    </row>
    <row r="4" spans="1:10" ht="18" customHeight="1" x14ac:dyDescent="0.25">
      <c r="A4" s="174"/>
      <c r="B4" s="272"/>
      <c r="C4" s="272"/>
      <c r="D4" s="272"/>
      <c r="E4" s="268"/>
      <c r="F4" s="268"/>
      <c r="G4" s="365" t="s">
        <v>236</v>
      </c>
    </row>
    <row r="5" spans="1:10" ht="18" customHeight="1" x14ac:dyDescent="0.25">
      <c r="A5" s="174"/>
      <c r="B5" s="272"/>
      <c r="C5" s="272"/>
      <c r="D5" s="272"/>
      <c r="E5" s="268"/>
      <c r="F5" s="268"/>
    </row>
    <row r="6" spans="1:10" ht="18" customHeight="1" x14ac:dyDescent="0.25">
      <c r="A6" s="174"/>
      <c r="B6" s="272"/>
      <c r="C6" s="272"/>
      <c r="D6" s="272"/>
      <c r="E6" s="268"/>
      <c r="F6" s="268"/>
      <c r="I6" s="266"/>
      <c r="J6" s="266"/>
    </row>
    <row r="7" spans="1:10" ht="18" customHeight="1" x14ac:dyDescent="0.25">
      <c r="A7" s="174"/>
      <c r="B7" s="177"/>
      <c r="C7" s="177"/>
      <c r="I7" s="266"/>
      <c r="J7" s="266"/>
    </row>
    <row r="8" spans="1:10" ht="18" customHeight="1" x14ac:dyDescent="0.25">
      <c r="A8" s="539" t="s">
        <v>234</v>
      </c>
      <c r="B8" s="540" t="s">
        <v>152</v>
      </c>
      <c r="C8" s="540"/>
      <c r="D8" s="214" t="s">
        <v>179</v>
      </c>
      <c r="E8" s="214" t="s">
        <v>180</v>
      </c>
      <c r="F8" s="214" t="s">
        <v>181</v>
      </c>
      <c r="G8" s="214" t="s">
        <v>182</v>
      </c>
      <c r="I8" s="208" t="s">
        <v>153</v>
      </c>
      <c r="J8" s="208" t="str">
        <f>'2_Gaz_Comparatif'!B14</f>
        <v>B1 (&lt; 30 MWh)</v>
      </c>
    </row>
    <row r="9" spans="1:10" ht="18" customHeight="1" x14ac:dyDescent="0.25">
      <c r="A9" s="539"/>
      <c r="B9" s="541" t="s">
        <v>154</v>
      </c>
      <c r="C9" s="541"/>
      <c r="D9" s="215" t="s">
        <v>155</v>
      </c>
      <c r="E9" s="208" t="s">
        <v>156</v>
      </c>
      <c r="F9" s="208" t="s">
        <v>157</v>
      </c>
      <c r="G9" s="208" t="s">
        <v>158</v>
      </c>
      <c r="I9" s="208" t="s">
        <v>148</v>
      </c>
      <c r="J9" s="208">
        <f>'2_Gaz_Comparatif'!C14</f>
        <v>1</v>
      </c>
    </row>
    <row r="10" spans="1:10" ht="18" customHeight="1" x14ac:dyDescent="0.25">
      <c r="A10" s="539"/>
      <c r="B10" s="542" t="s">
        <v>159</v>
      </c>
      <c r="C10" s="542"/>
      <c r="D10" s="216">
        <v>115.08</v>
      </c>
      <c r="E10" s="216">
        <v>115.08</v>
      </c>
      <c r="F10" s="216">
        <v>230.76</v>
      </c>
      <c r="G10" s="216">
        <v>230.76</v>
      </c>
    </row>
    <row r="11" spans="1:10" ht="18" customHeight="1" x14ac:dyDescent="0.25">
      <c r="A11" s="539"/>
      <c r="B11" s="543" t="s">
        <v>160</v>
      </c>
      <c r="C11" s="208">
        <v>1</v>
      </c>
      <c r="D11" s="217">
        <v>5.9700000000000003E-2</v>
      </c>
      <c r="E11" s="217">
        <v>5.9700000000000003E-2</v>
      </c>
      <c r="F11" s="217">
        <v>3.9100000000000003E-2</v>
      </c>
      <c r="G11" s="217">
        <v>3.9100000000000003E-2</v>
      </c>
      <c r="I11" s="208" t="s">
        <v>161</v>
      </c>
      <c r="J11" s="208">
        <f>MATCH(J8,C8:G8,0)</f>
        <v>4</v>
      </c>
    </row>
    <row r="12" spans="1:10" ht="18" customHeight="1" x14ac:dyDescent="0.25">
      <c r="A12" s="539"/>
      <c r="B12" s="544"/>
      <c r="C12" s="208">
        <v>2</v>
      </c>
      <c r="D12" s="217">
        <v>5.9700000000000003E-2</v>
      </c>
      <c r="E12" s="217">
        <v>5.9700000000000003E-2</v>
      </c>
      <c r="F12" s="217">
        <v>3.9699999999999999E-2</v>
      </c>
      <c r="G12" s="217">
        <v>3.9699999999999999E-2</v>
      </c>
      <c r="I12" s="208" t="s">
        <v>162</v>
      </c>
      <c r="J12" s="208">
        <f>MATCH(J9,C8:C16,0)</f>
        <v>4</v>
      </c>
    </row>
    <row r="13" spans="1:10" ht="18" customHeight="1" x14ac:dyDescent="0.25">
      <c r="A13" s="539"/>
      <c r="B13" s="544"/>
      <c r="C13" s="208">
        <v>3</v>
      </c>
      <c r="D13" s="217">
        <v>5.9700000000000003E-2</v>
      </c>
      <c r="E13" s="217">
        <v>5.9700000000000003E-2</v>
      </c>
      <c r="F13" s="217">
        <v>4.0300000000000002E-2</v>
      </c>
      <c r="G13" s="217">
        <v>4.0300000000000002E-2</v>
      </c>
      <c r="J13" s="204"/>
    </row>
    <row r="14" spans="1:10" ht="18" customHeight="1" x14ac:dyDescent="0.25">
      <c r="A14" s="539"/>
      <c r="B14" s="544"/>
      <c r="C14" s="208">
        <v>4</v>
      </c>
      <c r="D14" s="217">
        <v>5.9700000000000003E-2</v>
      </c>
      <c r="E14" s="217">
        <v>5.9700000000000003E-2</v>
      </c>
      <c r="F14" s="217">
        <v>4.0899999999999999E-2</v>
      </c>
      <c r="G14" s="217">
        <v>4.0899999999999999E-2</v>
      </c>
      <c r="I14" s="208" t="s">
        <v>153</v>
      </c>
    </row>
    <row r="15" spans="1:10" ht="18" customHeight="1" x14ac:dyDescent="0.25">
      <c r="A15" s="539"/>
      <c r="B15" s="544"/>
      <c r="C15" s="208">
        <v>5</v>
      </c>
      <c r="D15" s="217">
        <v>5.9700000000000003E-2</v>
      </c>
      <c r="E15" s="217">
        <v>5.9700000000000003E-2</v>
      </c>
      <c r="F15" s="217">
        <v>4.1500000000000002E-2</v>
      </c>
      <c r="G15" s="217">
        <v>4.1500000000000002E-2</v>
      </c>
      <c r="I15" s="208">
        <f>INDEX(C8:G16,J12,J11)</f>
        <v>3.9100000000000003E-2</v>
      </c>
    </row>
    <row r="16" spans="1:10" ht="18" customHeight="1" x14ac:dyDescent="0.25">
      <c r="A16" s="539"/>
      <c r="B16" s="544"/>
      <c r="C16" s="208">
        <v>6</v>
      </c>
      <c r="D16" s="217">
        <v>5.9700000000000003E-2</v>
      </c>
      <c r="E16" s="217">
        <v>5.9700000000000003E-2</v>
      </c>
      <c r="F16" s="217">
        <v>4.2099999999999999E-2</v>
      </c>
      <c r="G16" s="217">
        <v>4.2099999999999999E-2</v>
      </c>
    </row>
    <row r="17" spans="1:9" ht="18" customHeight="1" x14ac:dyDescent="0.25">
      <c r="A17" s="218"/>
      <c r="B17" s="204"/>
      <c r="C17" s="204"/>
      <c r="D17" s="204"/>
      <c r="E17" s="204"/>
      <c r="I17" s="213" t="s">
        <v>20</v>
      </c>
    </row>
    <row r="18" spans="1:9" ht="18" customHeight="1" x14ac:dyDescent="0.25">
      <c r="A18" s="218"/>
      <c r="B18" s="204"/>
      <c r="C18" s="204"/>
      <c r="D18" s="204"/>
      <c r="E18" s="204"/>
      <c r="I18" s="213">
        <f>HLOOKUP(J8,D8:G10,3,FALSE)</f>
        <v>230.76</v>
      </c>
    </row>
    <row r="19" spans="1:9" ht="18" customHeight="1" x14ac:dyDescent="0.25">
      <c r="B19" s="204"/>
      <c r="C19" s="204"/>
      <c r="D19" s="204"/>
      <c r="E19" s="204"/>
    </row>
    <row r="32" spans="1:9" hidden="1" x14ac:dyDescent="0.25">
      <c r="C32" s="231" t="s">
        <v>166</v>
      </c>
      <c r="D32" s="232">
        <v>7.71</v>
      </c>
      <c r="E32" s="232">
        <v>7.71</v>
      </c>
      <c r="F32" s="232">
        <v>16.86</v>
      </c>
      <c r="G32" s="232">
        <v>16.86</v>
      </c>
    </row>
    <row r="33" spans="3:7" hidden="1" x14ac:dyDescent="0.25">
      <c r="C33" s="231" t="s">
        <v>166</v>
      </c>
      <c r="D33" s="232">
        <f>D32*12</f>
        <v>92.52</v>
      </c>
      <c r="E33" s="232">
        <f>E32*12</f>
        <v>92.52</v>
      </c>
      <c r="F33" s="232">
        <f>F32*12</f>
        <v>202.32</v>
      </c>
      <c r="G33" s="232">
        <f>G32*12</f>
        <v>202.32</v>
      </c>
    </row>
    <row r="34" spans="3:7" hidden="1" x14ac:dyDescent="0.25"/>
  </sheetData>
  <sheetProtection algorithmName="SHA-512" hashValue="x/Oozzxq+tm1D8GJeC8J8HNMM8TLgmDQo5baVYmR7GDOQZGF2IoOrLqaEp2fdozcxC/vzro4c+6XWTCdm7wXkA==" saltValue="5HNiuzVPdl8dL0RgS0+NsA==" spinCount="100000" sheet="1" selectLockedCells="1"/>
  <mergeCells count="6">
    <mergeCell ref="A2:G2"/>
    <mergeCell ref="A8:A16"/>
    <mergeCell ref="B8:C8"/>
    <mergeCell ref="B9:C9"/>
    <mergeCell ref="B10:C10"/>
    <mergeCell ref="B11:B16"/>
  </mergeCells>
  <printOptions horizontalCentered="1" verticalCentered="1"/>
  <pageMargins left="0.39370078740157483" right="0.39370078740157483" top="0.39370078740157483" bottom="0.39370078740157483" header="0.31496062992125984" footer="0.31496062992125984"/>
  <pageSetup paperSize="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EE3C7-8C02-49E5-A3BA-73D2313D5D1D}">
  <sheetPr codeName="Feuil11">
    <tabColor rgb="FFFF99FF"/>
  </sheetPr>
  <dimension ref="A2:J28"/>
  <sheetViews>
    <sheetView showGridLines="0" showRowColHeaders="0" workbookViewId="0">
      <selection activeCell="H1" sqref="H1"/>
    </sheetView>
  </sheetViews>
  <sheetFormatPr baseColWidth="10" defaultRowHeight="15" x14ac:dyDescent="0.25"/>
  <cols>
    <col min="1" max="1" width="11.42578125" style="175"/>
    <col min="2" max="2" width="18.7109375" style="175" customWidth="1"/>
    <col min="3" max="3" width="25.28515625" style="175" customWidth="1"/>
    <col min="4" max="7" width="20.7109375" style="175" customWidth="1"/>
    <col min="8" max="8" width="16.5703125" style="175" customWidth="1"/>
    <col min="9" max="9" width="17" style="175" hidden="1" customWidth="1"/>
    <col min="10" max="10" width="18.5703125" style="175" hidden="1" customWidth="1"/>
    <col min="11" max="16384" width="11.42578125" style="175"/>
  </cols>
  <sheetData>
    <row r="2" spans="1:10" ht="28.5" x14ac:dyDescent="0.25">
      <c r="A2" s="538" t="str">
        <f>CONCATENATE("Grille tarifaire ",A8)</f>
        <v>Grille tarifaire Méga Energie</v>
      </c>
      <c r="B2" s="538"/>
      <c r="C2" s="538"/>
      <c r="D2" s="538"/>
      <c r="E2" s="538"/>
      <c r="F2" s="538"/>
      <c r="G2" s="538"/>
    </row>
    <row r="3" spans="1:10" ht="15.75" x14ac:dyDescent="0.25">
      <c r="B3" s="212"/>
      <c r="C3" s="177"/>
      <c r="F3" s="345"/>
      <c r="G3" s="345"/>
      <c r="H3" s="345"/>
    </row>
    <row r="4" spans="1:10" ht="15.75" x14ac:dyDescent="0.25">
      <c r="A4" s="545"/>
      <c r="B4" s="545"/>
      <c r="C4" s="545"/>
      <c r="D4" s="219"/>
      <c r="E4" s="344"/>
      <c r="F4" s="113" t="s">
        <v>92</v>
      </c>
      <c r="G4" s="346">
        <f>MégaEnergie_Elec!E5</f>
        <v>44316</v>
      </c>
      <c r="H4" s="345"/>
    </row>
    <row r="5" spans="1:10" x14ac:dyDescent="0.25">
      <c r="B5" s="518"/>
      <c r="C5" s="518"/>
      <c r="D5" s="518"/>
      <c r="F5" s="345"/>
      <c r="G5" s="345"/>
      <c r="H5" s="345"/>
    </row>
    <row r="7" spans="1:10" x14ac:dyDescent="0.25">
      <c r="B7" s="548" t="s">
        <v>164</v>
      </c>
      <c r="C7" s="548"/>
      <c r="D7" s="548"/>
      <c r="E7" s="548"/>
      <c r="F7" s="548"/>
      <c r="G7" s="548"/>
      <c r="I7" s="208" t="s">
        <v>153</v>
      </c>
      <c r="J7" s="208" t="str">
        <f>'2_Gaz_Comparatif'!B$14</f>
        <v>B1 (&lt; 30 MWh)</v>
      </c>
    </row>
    <row r="8" spans="1:10" ht="18" customHeight="1" x14ac:dyDescent="0.25">
      <c r="A8" s="546" t="s">
        <v>146</v>
      </c>
      <c r="B8" s="299"/>
      <c r="C8" s="300" t="s">
        <v>152</v>
      </c>
      <c r="D8" s="220" t="s">
        <v>179</v>
      </c>
      <c r="E8" s="220" t="s">
        <v>180</v>
      </c>
      <c r="F8" s="220" t="s">
        <v>181</v>
      </c>
      <c r="G8" s="220" t="s">
        <v>182</v>
      </c>
      <c r="I8" s="208" t="s">
        <v>148</v>
      </c>
      <c r="J8" s="208">
        <f>'2_Gaz_Comparatif'!C$14</f>
        <v>1</v>
      </c>
    </row>
    <row r="9" spans="1:10" ht="18" customHeight="1" x14ac:dyDescent="0.25">
      <c r="A9" s="547"/>
      <c r="B9" s="301"/>
      <c r="C9" s="302" t="s">
        <v>154</v>
      </c>
      <c r="D9" s="215" t="s">
        <v>178</v>
      </c>
      <c r="E9" s="208" t="s">
        <v>156</v>
      </c>
      <c r="F9" s="208" t="s">
        <v>176</v>
      </c>
      <c r="G9" s="208" t="s">
        <v>177</v>
      </c>
    </row>
    <row r="10" spans="1:10" ht="18" customHeight="1" x14ac:dyDescent="0.25">
      <c r="A10" s="547"/>
      <c r="B10" s="297"/>
      <c r="C10" s="298" t="s">
        <v>159</v>
      </c>
      <c r="D10" s="216">
        <f>ENGIE!D10</f>
        <v>115.08</v>
      </c>
      <c r="E10" s="216">
        <f>ENGIE!E10</f>
        <v>115.08</v>
      </c>
      <c r="F10" s="216">
        <f>ENGIE!F10</f>
        <v>230.76</v>
      </c>
      <c r="G10" s="216">
        <f>ENGIE!G10</f>
        <v>230.76</v>
      </c>
      <c r="I10" s="208" t="s">
        <v>161</v>
      </c>
      <c r="J10" s="208">
        <f>MATCH(J7,C8:G8,0)</f>
        <v>4</v>
      </c>
    </row>
    <row r="11" spans="1:10" ht="18" customHeight="1" x14ac:dyDescent="0.25">
      <c r="A11" s="547"/>
      <c r="B11" s="543" t="s">
        <v>160</v>
      </c>
      <c r="C11" s="208">
        <v>1</v>
      </c>
      <c r="D11" s="217">
        <f>ENGIE!D11*0.82</f>
        <v>4.8953999999999998E-2</v>
      </c>
      <c r="E11" s="217">
        <f>ENGIE!E11*0.82</f>
        <v>4.8953999999999998E-2</v>
      </c>
      <c r="F11" s="217">
        <f>ENGIE!F11*0.82</f>
        <v>3.2062E-2</v>
      </c>
      <c r="G11" s="217">
        <f>ENGIE!G11*0.82</f>
        <v>3.2062E-2</v>
      </c>
      <c r="I11" s="208" t="s">
        <v>162</v>
      </c>
      <c r="J11" s="208">
        <f>MATCH(J8,C8:C16,0)</f>
        <v>4</v>
      </c>
    </row>
    <row r="12" spans="1:10" ht="18" customHeight="1" x14ac:dyDescent="0.25">
      <c r="A12" s="547"/>
      <c r="B12" s="544"/>
      <c r="C12" s="208">
        <v>2</v>
      </c>
      <c r="D12" s="217">
        <f>ENGIE!D12*0.82</f>
        <v>4.8953999999999998E-2</v>
      </c>
      <c r="E12" s="217">
        <f>ENGIE!E12*0.82</f>
        <v>4.8953999999999998E-2</v>
      </c>
      <c r="F12" s="217">
        <f>ENGIE!F12*0.82</f>
        <v>3.2554E-2</v>
      </c>
      <c r="G12" s="217">
        <f>ENGIE!G12*0.82</f>
        <v>3.2554E-2</v>
      </c>
    </row>
    <row r="13" spans="1:10" ht="18" customHeight="1" x14ac:dyDescent="0.25">
      <c r="A13" s="547"/>
      <c r="B13" s="544"/>
      <c r="C13" s="208">
        <v>3</v>
      </c>
      <c r="D13" s="217">
        <f>ENGIE!D13*0.82</f>
        <v>4.8953999999999998E-2</v>
      </c>
      <c r="E13" s="217">
        <f>ENGIE!E13*0.82</f>
        <v>4.8953999999999998E-2</v>
      </c>
      <c r="F13" s="217">
        <f>ENGIE!F13*0.82</f>
        <v>3.3045999999999999E-2</v>
      </c>
      <c r="G13" s="217">
        <f>ENGIE!G13*0.82</f>
        <v>3.3045999999999999E-2</v>
      </c>
      <c r="I13" s="208" t="s">
        <v>153</v>
      </c>
    </row>
    <row r="14" spans="1:10" ht="18" customHeight="1" x14ac:dyDescent="0.25">
      <c r="A14" s="547"/>
      <c r="B14" s="544"/>
      <c r="C14" s="208">
        <v>4</v>
      </c>
      <c r="D14" s="217">
        <f>ENGIE!D14*0.82</f>
        <v>4.8953999999999998E-2</v>
      </c>
      <c r="E14" s="217">
        <f>ENGIE!E14*0.82</f>
        <v>4.8953999999999998E-2</v>
      </c>
      <c r="F14" s="217">
        <f>ENGIE!F14*0.82</f>
        <v>3.3537999999999998E-2</v>
      </c>
      <c r="G14" s="217">
        <f>ENGIE!G14*0.82</f>
        <v>3.3537999999999998E-2</v>
      </c>
      <c r="I14" s="208">
        <f>INDEX(C8:G16,J11,J10)</f>
        <v>3.2062E-2</v>
      </c>
    </row>
    <row r="15" spans="1:10" ht="18" customHeight="1" x14ac:dyDescent="0.25">
      <c r="A15" s="547"/>
      <c r="B15" s="544"/>
      <c r="C15" s="208">
        <v>5</v>
      </c>
      <c r="D15" s="217">
        <f>ENGIE!D15*0.82</f>
        <v>4.8953999999999998E-2</v>
      </c>
      <c r="E15" s="217">
        <f>ENGIE!E15*0.82</f>
        <v>4.8953999999999998E-2</v>
      </c>
      <c r="F15" s="217">
        <f>ENGIE!F15*0.82</f>
        <v>3.4029999999999998E-2</v>
      </c>
      <c r="G15" s="217">
        <f>ENGIE!G15*0.82</f>
        <v>3.4029999999999998E-2</v>
      </c>
    </row>
    <row r="16" spans="1:10" ht="18" customHeight="1" x14ac:dyDescent="0.25">
      <c r="A16" s="547"/>
      <c r="B16" s="544"/>
      <c r="C16" s="208">
        <v>6</v>
      </c>
      <c r="D16" s="217">
        <f>ENGIE!D16*0.82</f>
        <v>4.8953999999999998E-2</v>
      </c>
      <c r="E16" s="217">
        <f>ENGIE!E16*0.82</f>
        <v>4.8953999999999998E-2</v>
      </c>
      <c r="F16" s="217">
        <f>ENGIE!F16*0.82</f>
        <v>3.4521999999999997E-2</v>
      </c>
      <c r="G16" s="217">
        <f>ENGIE!G16*0.82</f>
        <v>3.4521999999999997E-2</v>
      </c>
      <c r="I16" s="213" t="s">
        <v>20</v>
      </c>
    </row>
    <row r="17" spans="3:9" ht="18" customHeight="1" x14ac:dyDescent="0.25">
      <c r="I17" s="213">
        <f>HLOOKUP(J7,D8:G10,3,FALSE)</f>
        <v>230.76</v>
      </c>
    </row>
    <row r="21" spans="3:9" hidden="1" x14ac:dyDescent="0.25"/>
    <row r="22" spans="3:9" hidden="1" x14ac:dyDescent="0.25"/>
    <row r="23" spans="3:9" hidden="1" x14ac:dyDescent="0.25"/>
    <row r="24" spans="3:9" hidden="1" x14ac:dyDescent="0.25">
      <c r="C24" s="231" t="s">
        <v>166</v>
      </c>
      <c r="D24" s="232">
        <v>7.71</v>
      </c>
      <c r="E24" s="232">
        <v>7.71</v>
      </c>
      <c r="F24" s="232">
        <v>16.86</v>
      </c>
      <c r="G24" s="232">
        <v>16.86</v>
      </c>
    </row>
    <row r="25" spans="3:9" hidden="1" x14ac:dyDescent="0.25">
      <c r="C25" s="231" t="s">
        <v>159</v>
      </c>
      <c r="D25" s="232">
        <f>D24*12</f>
        <v>92.52</v>
      </c>
      <c r="E25" s="232">
        <f>E24*12</f>
        <v>92.52</v>
      </c>
      <c r="F25" s="232">
        <f>F24*12</f>
        <v>202.32</v>
      </c>
      <c r="G25" s="232">
        <f>G24*12</f>
        <v>202.32</v>
      </c>
    </row>
    <row r="26" spans="3:9" hidden="1" x14ac:dyDescent="0.25"/>
    <row r="27" spans="3:9" hidden="1" x14ac:dyDescent="0.25"/>
    <row r="28" spans="3:9" hidden="1" x14ac:dyDescent="0.25"/>
  </sheetData>
  <sheetProtection algorithmName="SHA-512" hashValue="A0QZwRrGGe48KGX5W99CqZ5u4ZhwzOdyO/ykj4iI6YOp1tCY5fmUFnSV3WMKzHlHd+0+88hjb687amioRarNIA==" saltValue="58ONavxjutRgrdhL/dHoFQ==" spinCount="100000" sheet="1" selectLockedCells="1"/>
  <mergeCells count="6">
    <mergeCell ref="A2:G2"/>
    <mergeCell ref="A4:C4"/>
    <mergeCell ref="B5:D5"/>
    <mergeCell ref="A8:A16"/>
    <mergeCell ref="B11:B16"/>
    <mergeCell ref="B7:G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E0EA-D733-4185-9166-0D2469ADCA6A}">
  <sheetPr codeName="Feuil7">
    <tabColor rgb="FFFFC000"/>
  </sheetPr>
  <dimension ref="A1:H49"/>
  <sheetViews>
    <sheetView showGridLines="0" showZeros="0" zoomScaleNormal="100" workbookViewId="0">
      <selection activeCell="C22" sqref="C22"/>
    </sheetView>
  </sheetViews>
  <sheetFormatPr baseColWidth="10" defaultRowHeight="15" x14ac:dyDescent="0.25"/>
  <cols>
    <col min="1" max="1" width="14.7109375" style="11" customWidth="1"/>
    <col min="2" max="7" width="18.7109375" style="11" customWidth="1"/>
    <col min="8" max="8" width="20" style="11" customWidth="1"/>
    <col min="9" max="16384" width="11.42578125" style="11"/>
  </cols>
  <sheetData>
    <row r="1" spans="2:7" x14ac:dyDescent="0.25">
      <c r="B1" s="560" t="s">
        <v>122</v>
      </c>
      <c r="C1" s="561"/>
      <c r="D1" s="561"/>
      <c r="E1" s="561"/>
      <c r="F1" s="561"/>
      <c r="G1" s="562"/>
    </row>
    <row r="2" spans="2:7" ht="15.75" thickBot="1" x14ac:dyDescent="0.3">
      <c r="B2" s="563"/>
      <c r="C2" s="564"/>
      <c r="D2" s="564"/>
      <c r="E2" s="564"/>
      <c r="F2" s="564"/>
      <c r="G2" s="565"/>
    </row>
    <row r="3" spans="2:7" ht="15.75" thickBot="1" x14ac:dyDescent="0.3">
      <c r="E3" s="89"/>
    </row>
    <row r="4" spans="2:7" ht="15.75" thickBot="1" x14ac:dyDescent="0.3">
      <c r="B4" s="566" t="s">
        <v>59</v>
      </c>
      <c r="C4" s="567"/>
      <c r="D4" s="567"/>
      <c r="E4" s="567"/>
      <c r="F4" s="567"/>
      <c r="G4" s="568"/>
    </row>
    <row r="5" spans="2:7" x14ac:dyDescent="0.25">
      <c r="B5" s="95"/>
      <c r="C5" s="142"/>
      <c r="D5" s="142"/>
      <c r="E5" s="142"/>
      <c r="F5" s="142"/>
      <c r="G5" s="96"/>
    </row>
    <row r="6" spans="2:7" x14ac:dyDescent="0.25">
      <c r="B6" s="557" t="s">
        <v>3</v>
      </c>
      <c r="C6" s="558"/>
      <c r="D6" s="142"/>
      <c r="E6" s="558" t="s">
        <v>75</v>
      </c>
      <c r="F6" s="558"/>
      <c r="G6" s="96"/>
    </row>
    <row r="7" spans="2:7" x14ac:dyDescent="0.25">
      <c r="B7" s="98" t="s">
        <v>76</v>
      </c>
      <c r="C7" s="91" t="s">
        <v>77</v>
      </c>
      <c r="D7" s="92"/>
      <c r="E7" s="91" t="s">
        <v>76</v>
      </c>
      <c r="F7" s="91" t="s">
        <v>77</v>
      </c>
      <c r="G7" s="93" t="s">
        <v>58</v>
      </c>
    </row>
    <row r="8" spans="2:7" x14ac:dyDescent="0.25">
      <c r="B8" s="144">
        <v>2758</v>
      </c>
      <c r="C8" s="145"/>
      <c r="D8" s="142"/>
      <c r="E8" s="145">
        <v>1951</v>
      </c>
      <c r="F8" s="145"/>
      <c r="G8" s="97">
        <f t="shared" ref="G8:G13" si="0">SUM(B8,E8)-SUM(C8,F8)</f>
        <v>4709</v>
      </c>
    </row>
    <row r="9" spans="2:7" x14ac:dyDescent="0.25">
      <c r="B9" s="144">
        <v>1338</v>
      </c>
      <c r="C9" s="145"/>
      <c r="D9" s="142"/>
      <c r="E9" s="145">
        <v>1352</v>
      </c>
      <c r="F9" s="145"/>
      <c r="G9" s="97">
        <f t="shared" si="0"/>
        <v>2690</v>
      </c>
    </row>
    <row r="10" spans="2:7" x14ac:dyDescent="0.25">
      <c r="B10" s="144">
        <v>6840</v>
      </c>
      <c r="C10" s="145"/>
      <c r="D10" s="142"/>
      <c r="E10" s="145">
        <v>2400</v>
      </c>
      <c r="F10" s="145"/>
      <c r="G10" s="97">
        <f t="shared" si="0"/>
        <v>9240</v>
      </c>
    </row>
    <row r="11" spans="2:7" x14ac:dyDescent="0.25">
      <c r="B11" s="144"/>
      <c r="C11" s="145"/>
      <c r="D11" s="142"/>
      <c r="E11" s="145"/>
      <c r="F11" s="145"/>
      <c r="G11" s="97">
        <f t="shared" si="0"/>
        <v>0</v>
      </c>
    </row>
    <row r="12" spans="2:7" x14ac:dyDescent="0.25">
      <c r="B12" s="144"/>
      <c r="C12" s="145"/>
      <c r="D12" s="142"/>
      <c r="E12" s="145"/>
      <c r="F12" s="145"/>
      <c r="G12" s="97">
        <f t="shared" si="0"/>
        <v>0</v>
      </c>
    </row>
    <row r="13" spans="2:7" x14ac:dyDescent="0.25">
      <c r="B13" s="144"/>
      <c r="C13" s="145"/>
      <c r="D13" s="142"/>
      <c r="E13" s="145"/>
      <c r="F13" s="145"/>
      <c r="G13" s="97">
        <f t="shared" si="0"/>
        <v>0</v>
      </c>
    </row>
    <row r="14" spans="2:7" x14ac:dyDescent="0.25">
      <c r="B14" s="569">
        <f>SUM(B8:B13)-SUM(C8:C13)</f>
        <v>10936</v>
      </c>
      <c r="C14" s="570"/>
      <c r="D14" s="142"/>
      <c r="E14" s="570">
        <f>SUM(E8:E13)-SUM(F8:F13)</f>
        <v>5703</v>
      </c>
      <c r="F14" s="570"/>
      <c r="G14" s="94">
        <f>IF(SUM(B14:F14)=SUM(G8:G13),SUM(B14:F14),"ERREUR")</f>
        <v>16639</v>
      </c>
    </row>
    <row r="15" spans="2:7" x14ac:dyDescent="0.25">
      <c r="B15" s="95"/>
      <c r="C15" s="142"/>
      <c r="D15" s="142"/>
      <c r="E15" s="142"/>
      <c r="F15" s="142"/>
      <c r="G15" s="96"/>
    </row>
    <row r="16" spans="2:7" x14ac:dyDescent="0.25">
      <c r="B16" s="557" t="str">
        <f>'1b_Electricité_Comparatifs_HPHC'!$N$2</f>
        <v>TCFE HT en €/kWh</v>
      </c>
      <c r="C16" s="558"/>
      <c r="D16" s="558"/>
      <c r="E16" s="555">
        <v>3.2200000000000002E-3</v>
      </c>
      <c r="F16" s="555"/>
      <c r="G16" s="556"/>
    </row>
    <row r="17" spans="1:8" x14ac:dyDescent="0.25">
      <c r="B17" s="557" t="str">
        <f>'1b_Electricité_Comparatifs_HPHC'!$O$2</f>
        <v>CSPE 
HT en €/kWh</v>
      </c>
      <c r="C17" s="558"/>
      <c r="D17" s="558"/>
      <c r="E17" s="555">
        <v>2.2499999999999999E-2</v>
      </c>
      <c r="F17" s="555"/>
      <c r="G17" s="556"/>
    </row>
    <row r="18" spans="1:8" ht="15.75" thickBot="1" x14ac:dyDescent="0.3">
      <c r="B18" s="100" t="s">
        <v>78</v>
      </c>
      <c r="C18" s="146">
        <v>2</v>
      </c>
      <c r="D18" s="100" t="str">
        <f>CONCATENATE('1b_Electricité_Comparatifs_HPHC'!$P$2," /",C18,"mois : ")</f>
        <v xml:space="preserve">CTA 
HT en €/an /2mois : </v>
      </c>
      <c r="E18" s="146">
        <v>3.93</v>
      </c>
      <c r="F18" s="101" t="str">
        <f>CONCATENATE('1b_Electricité_Comparatifs_HPHC'!$P$2," /an : ")</f>
        <v xml:space="preserve">CTA 
HT en €/an /an : </v>
      </c>
      <c r="G18" s="99">
        <f>E18*12/C18</f>
        <v>23.580000000000002</v>
      </c>
    </row>
    <row r="20" spans="1:8" ht="15.75" thickBot="1" x14ac:dyDescent="0.3">
      <c r="B20" s="559" t="s">
        <v>118</v>
      </c>
      <c r="C20" s="559"/>
      <c r="D20" s="559"/>
      <c r="E20" s="559"/>
      <c r="F20" s="559"/>
      <c r="G20" s="559"/>
      <c r="H20" s="559"/>
    </row>
    <row r="21" spans="1:8" ht="37.5" customHeight="1" thickBot="1" x14ac:dyDescent="0.3">
      <c r="B21" s="147"/>
      <c r="C21" s="148" t="s">
        <v>96</v>
      </c>
      <c r="D21" s="148" t="s">
        <v>57</v>
      </c>
      <c r="E21" s="148" t="s">
        <v>56</v>
      </c>
      <c r="F21" s="148" t="s">
        <v>93</v>
      </c>
      <c r="G21" s="148" t="s">
        <v>94</v>
      </c>
      <c r="H21" s="149" t="s">
        <v>95</v>
      </c>
    </row>
    <row r="22" spans="1:8" ht="18" customHeight="1" x14ac:dyDescent="0.25">
      <c r="A22" s="549" t="s">
        <v>97</v>
      </c>
      <c r="B22" s="150" t="s">
        <v>102</v>
      </c>
      <c r="C22" s="105">
        <v>1685</v>
      </c>
      <c r="D22" s="166">
        <f t="shared" ref="D22:D33" si="1">ROUND(C22*$D$49,0)</f>
        <v>1374</v>
      </c>
      <c r="E22" s="166">
        <f>C22-D22</f>
        <v>311</v>
      </c>
      <c r="F22" s="166">
        <f>SUM(D22:E22)</f>
        <v>1685</v>
      </c>
      <c r="G22" s="167">
        <f>IF($E22&lt;&gt;0,D22/$E22,"")</f>
        <v>4.418006430868167</v>
      </c>
      <c r="H22" s="168">
        <f>IF($E22&lt;&gt;0,E22/$E22,"")</f>
        <v>1</v>
      </c>
    </row>
    <row r="23" spans="1:8" ht="18" customHeight="1" x14ac:dyDescent="0.25">
      <c r="A23" s="550"/>
      <c r="B23" s="151" t="s">
        <v>103</v>
      </c>
      <c r="C23" s="106">
        <v>2399</v>
      </c>
      <c r="D23" s="153">
        <f t="shared" si="1"/>
        <v>1957</v>
      </c>
      <c r="E23" s="153">
        <f t="shared" ref="E23:E29" si="2">C23-D23</f>
        <v>442</v>
      </c>
      <c r="F23" s="153">
        <f t="shared" ref="F23:F29" si="3">SUM(D23:E23)</f>
        <v>2399</v>
      </c>
      <c r="G23" s="154">
        <f t="shared" ref="G23:G29" si="4">IF($E23&lt;&gt;0,D23/$E23,"")</f>
        <v>4.4276018099547514</v>
      </c>
      <c r="H23" s="155">
        <f t="shared" ref="H23:H29" si="5">IF($E23&lt;&gt;0,E23/$E23,"")</f>
        <v>1</v>
      </c>
    </row>
    <row r="24" spans="1:8" ht="18" customHeight="1" x14ac:dyDescent="0.25">
      <c r="A24" s="550"/>
      <c r="B24" s="151" t="s">
        <v>104</v>
      </c>
      <c r="C24" s="106">
        <v>1539</v>
      </c>
      <c r="D24" s="153">
        <f t="shared" si="1"/>
        <v>1255</v>
      </c>
      <c r="E24" s="153">
        <f t="shared" si="2"/>
        <v>284</v>
      </c>
      <c r="F24" s="153">
        <f t="shared" si="3"/>
        <v>1539</v>
      </c>
      <c r="G24" s="154">
        <f t="shared" si="4"/>
        <v>4.419014084507042</v>
      </c>
      <c r="H24" s="155">
        <f t="shared" si="5"/>
        <v>1</v>
      </c>
    </row>
    <row r="25" spans="1:8" ht="18" customHeight="1" x14ac:dyDescent="0.25">
      <c r="A25" s="550"/>
      <c r="B25" s="151" t="s">
        <v>105</v>
      </c>
      <c r="C25" s="106">
        <v>1661</v>
      </c>
      <c r="D25" s="153">
        <f t="shared" si="1"/>
        <v>1355</v>
      </c>
      <c r="E25" s="153">
        <f t="shared" si="2"/>
        <v>306</v>
      </c>
      <c r="F25" s="153">
        <f t="shared" si="3"/>
        <v>1661</v>
      </c>
      <c r="G25" s="154">
        <f t="shared" si="4"/>
        <v>4.4281045751633989</v>
      </c>
      <c r="H25" s="155">
        <f t="shared" si="5"/>
        <v>1</v>
      </c>
    </row>
    <row r="26" spans="1:8" ht="18" customHeight="1" x14ac:dyDescent="0.25">
      <c r="A26" s="550"/>
      <c r="B26" s="151" t="s">
        <v>106</v>
      </c>
      <c r="C26" s="106">
        <v>2067</v>
      </c>
      <c r="D26" s="153">
        <f t="shared" si="1"/>
        <v>1686</v>
      </c>
      <c r="E26" s="153">
        <f t="shared" si="2"/>
        <v>381</v>
      </c>
      <c r="F26" s="153">
        <f t="shared" si="3"/>
        <v>2067</v>
      </c>
      <c r="G26" s="154">
        <f t="shared" si="4"/>
        <v>4.4251968503937009</v>
      </c>
      <c r="H26" s="155">
        <f t="shared" si="5"/>
        <v>1</v>
      </c>
    </row>
    <row r="27" spans="1:8" ht="18" customHeight="1" x14ac:dyDescent="0.25">
      <c r="A27" s="550"/>
      <c r="B27" s="151" t="s">
        <v>107</v>
      </c>
      <c r="C27" s="106">
        <v>3341</v>
      </c>
      <c r="D27" s="153">
        <f t="shared" si="1"/>
        <v>2725</v>
      </c>
      <c r="E27" s="153">
        <f t="shared" si="2"/>
        <v>616</v>
      </c>
      <c r="F27" s="153">
        <f t="shared" si="3"/>
        <v>3341</v>
      </c>
      <c r="G27" s="154">
        <f t="shared" si="4"/>
        <v>4.4237012987012987</v>
      </c>
      <c r="H27" s="155">
        <f t="shared" si="5"/>
        <v>1</v>
      </c>
    </row>
    <row r="28" spans="1:8" ht="18" customHeight="1" x14ac:dyDescent="0.25">
      <c r="A28" s="550"/>
      <c r="B28" s="151" t="s">
        <v>108</v>
      </c>
      <c r="C28" s="106">
        <v>4786</v>
      </c>
      <c r="D28" s="153">
        <f t="shared" si="1"/>
        <v>3904</v>
      </c>
      <c r="E28" s="153">
        <f t="shared" si="2"/>
        <v>882</v>
      </c>
      <c r="F28" s="153">
        <f t="shared" si="3"/>
        <v>4786</v>
      </c>
      <c r="G28" s="154">
        <f t="shared" si="4"/>
        <v>4.4263038548752833</v>
      </c>
      <c r="H28" s="155">
        <f t="shared" si="5"/>
        <v>1</v>
      </c>
    </row>
    <row r="29" spans="1:8" ht="18" customHeight="1" x14ac:dyDescent="0.25">
      <c r="A29" s="550"/>
      <c r="B29" s="151" t="s">
        <v>109</v>
      </c>
      <c r="C29" s="106">
        <v>5524</v>
      </c>
      <c r="D29" s="153">
        <f t="shared" si="1"/>
        <v>4505</v>
      </c>
      <c r="E29" s="153">
        <f t="shared" si="2"/>
        <v>1019</v>
      </c>
      <c r="F29" s="153">
        <f t="shared" si="3"/>
        <v>5524</v>
      </c>
      <c r="G29" s="154">
        <f t="shared" si="4"/>
        <v>4.4210009813542692</v>
      </c>
      <c r="H29" s="155">
        <f t="shared" si="5"/>
        <v>1</v>
      </c>
    </row>
    <row r="30" spans="1:8" ht="18" customHeight="1" x14ac:dyDescent="0.25">
      <c r="A30" s="550"/>
      <c r="B30" s="151" t="s">
        <v>110</v>
      </c>
      <c r="C30" s="106">
        <v>3705</v>
      </c>
      <c r="D30" s="153">
        <f t="shared" si="1"/>
        <v>3022</v>
      </c>
      <c r="E30" s="153">
        <f>C30-D30</f>
        <v>683</v>
      </c>
      <c r="F30" s="153">
        <f>SUM(D30:E30)</f>
        <v>3705</v>
      </c>
      <c r="G30" s="154">
        <f t="shared" ref="G30:H34" si="6">IF($E30&lt;&gt;0,D30/$E30,"")</f>
        <v>4.4245973645680818</v>
      </c>
      <c r="H30" s="155">
        <f t="shared" si="6"/>
        <v>1</v>
      </c>
    </row>
    <row r="31" spans="1:8" ht="18" customHeight="1" x14ac:dyDescent="0.25">
      <c r="A31" s="550"/>
      <c r="B31" s="151" t="s">
        <v>111</v>
      </c>
      <c r="C31" s="106">
        <v>3532</v>
      </c>
      <c r="D31" s="153">
        <f t="shared" si="1"/>
        <v>2881</v>
      </c>
      <c r="E31" s="153">
        <f>C31-D31</f>
        <v>651</v>
      </c>
      <c r="F31" s="153">
        <f>SUM(D31:E31)</f>
        <v>3532</v>
      </c>
      <c r="G31" s="154">
        <f t="shared" si="6"/>
        <v>4.4254992319508446</v>
      </c>
      <c r="H31" s="155">
        <f t="shared" si="6"/>
        <v>1</v>
      </c>
    </row>
    <row r="32" spans="1:8" ht="18" customHeight="1" x14ac:dyDescent="0.25">
      <c r="A32" s="551"/>
      <c r="B32" s="151" t="s">
        <v>112</v>
      </c>
      <c r="C32" s="106">
        <v>2504</v>
      </c>
      <c r="D32" s="153">
        <f t="shared" si="1"/>
        <v>2042</v>
      </c>
      <c r="E32" s="153">
        <f>C32-D32</f>
        <v>462</v>
      </c>
      <c r="F32" s="153">
        <f>SUM(D32:E32)</f>
        <v>2504</v>
      </c>
      <c r="G32" s="154">
        <f t="shared" si="6"/>
        <v>4.4199134199134198</v>
      </c>
      <c r="H32" s="155">
        <f t="shared" si="6"/>
        <v>1</v>
      </c>
    </row>
    <row r="33" spans="1:8" ht="18" customHeight="1" x14ac:dyDescent="0.25">
      <c r="A33" s="551"/>
      <c r="B33" s="151" t="s">
        <v>113</v>
      </c>
      <c r="C33" s="106"/>
      <c r="D33" s="153">
        <f t="shared" si="1"/>
        <v>0</v>
      </c>
      <c r="E33" s="153">
        <f>C33-D33</f>
        <v>0</v>
      </c>
      <c r="F33" s="153">
        <f>SUM(D33:E33)</f>
        <v>0</v>
      </c>
      <c r="G33" s="154" t="str">
        <f t="shared" si="6"/>
        <v/>
      </c>
      <c r="H33" s="155" t="str">
        <f t="shared" si="6"/>
        <v/>
      </c>
    </row>
    <row r="34" spans="1:8" ht="18" customHeight="1" x14ac:dyDescent="0.25">
      <c r="A34" s="551" t="s">
        <v>98</v>
      </c>
      <c r="B34" s="152" t="s">
        <v>102</v>
      </c>
      <c r="C34" s="153"/>
      <c r="D34" s="169"/>
      <c r="E34" s="169"/>
      <c r="F34" s="153">
        <f>SUM(D34:E34)</f>
        <v>0</v>
      </c>
      <c r="G34" s="154" t="str">
        <f t="shared" si="6"/>
        <v/>
      </c>
      <c r="H34" s="155" t="str">
        <f t="shared" si="6"/>
        <v/>
      </c>
    </row>
    <row r="35" spans="1:8" ht="18" customHeight="1" x14ac:dyDescent="0.25">
      <c r="A35" s="551"/>
      <c r="B35" s="152" t="s">
        <v>103</v>
      </c>
      <c r="C35" s="153"/>
      <c r="D35" s="169"/>
      <c r="E35" s="169"/>
      <c r="F35" s="153"/>
      <c r="G35" s="154"/>
      <c r="H35" s="155"/>
    </row>
    <row r="36" spans="1:8" ht="18" customHeight="1" x14ac:dyDescent="0.25">
      <c r="A36" s="551"/>
      <c r="B36" s="152" t="s">
        <v>104</v>
      </c>
      <c r="C36" s="153"/>
      <c r="D36" s="169"/>
      <c r="E36" s="169"/>
      <c r="F36" s="153"/>
      <c r="G36" s="154"/>
      <c r="H36" s="155"/>
    </row>
    <row r="37" spans="1:8" ht="18" customHeight="1" x14ac:dyDescent="0.25">
      <c r="A37" s="551"/>
      <c r="B37" s="152" t="s">
        <v>105</v>
      </c>
      <c r="C37" s="153"/>
      <c r="D37" s="169"/>
      <c r="E37" s="169"/>
      <c r="F37" s="153">
        <f>SUM(D37:E37)</f>
        <v>0</v>
      </c>
      <c r="G37" s="154" t="str">
        <f>IF($E37&lt;&gt;0,D37/$E37,"")</f>
        <v/>
      </c>
      <c r="H37" s="155" t="str">
        <f>IF($E37&lt;&gt;0,E37/$E37,"")</f>
        <v/>
      </c>
    </row>
    <row r="38" spans="1:8" ht="18" customHeight="1" x14ac:dyDescent="0.25">
      <c r="A38" s="551"/>
      <c r="B38" s="152" t="s">
        <v>106</v>
      </c>
      <c r="C38" s="153"/>
      <c r="D38" s="169"/>
      <c r="E38" s="169"/>
      <c r="F38" s="153"/>
      <c r="G38" s="154"/>
      <c r="H38" s="155"/>
    </row>
    <row r="39" spans="1:8" ht="18" customHeight="1" x14ac:dyDescent="0.25">
      <c r="A39" s="551"/>
      <c r="B39" s="152" t="s">
        <v>107</v>
      </c>
      <c r="C39" s="153"/>
      <c r="D39" s="169"/>
      <c r="E39" s="169"/>
      <c r="F39" s="153"/>
      <c r="G39" s="154"/>
      <c r="H39" s="155"/>
    </row>
    <row r="40" spans="1:8" ht="18" customHeight="1" x14ac:dyDescent="0.25">
      <c r="A40" s="551"/>
      <c r="B40" s="152" t="s">
        <v>108</v>
      </c>
      <c r="C40" s="153"/>
      <c r="D40" s="169"/>
      <c r="E40" s="169"/>
      <c r="F40" s="153"/>
      <c r="G40" s="154"/>
      <c r="H40" s="155"/>
    </row>
    <row r="41" spans="1:8" ht="18" customHeight="1" x14ac:dyDescent="0.25">
      <c r="A41" s="551"/>
      <c r="B41" s="152" t="s">
        <v>109</v>
      </c>
      <c r="C41" s="153"/>
      <c r="D41" s="169"/>
      <c r="E41" s="169"/>
      <c r="F41" s="153"/>
      <c r="G41" s="154"/>
      <c r="H41" s="155"/>
    </row>
    <row r="42" spans="1:8" ht="18" customHeight="1" x14ac:dyDescent="0.25">
      <c r="A42" s="551"/>
      <c r="B42" s="152" t="s">
        <v>110</v>
      </c>
      <c r="C42" s="153"/>
      <c r="D42" s="169"/>
      <c r="E42" s="169"/>
      <c r="F42" s="153">
        <f>SUM(D42:E42)</f>
        <v>0</v>
      </c>
      <c r="G42" s="154" t="str">
        <f>IF($E42&lt;&gt;0,D42/$E42,"")</f>
        <v/>
      </c>
      <c r="H42" s="155" t="str">
        <f>IF($E42&lt;&gt;0,E42/$E42,"")</f>
        <v/>
      </c>
    </row>
    <row r="43" spans="1:8" ht="18" customHeight="1" x14ac:dyDescent="0.25">
      <c r="A43" s="551"/>
      <c r="B43" s="152" t="s">
        <v>111</v>
      </c>
      <c r="C43" s="153"/>
      <c r="D43" s="169"/>
      <c r="E43" s="169"/>
      <c r="F43" s="153"/>
      <c r="G43" s="154"/>
      <c r="H43" s="155"/>
    </row>
    <row r="44" spans="1:8" ht="18" customHeight="1" x14ac:dyDescent="0.25">
      <c r="A44" s="551"/>
      <c r="B44" s="152" t="s">
        <v>112</v>
      </c>
      <c r="C44" s="153"/>
      <c r="D44" s="169"/>
      <c r="E44" s="169"/>
      <c r="F44" s="153">
        <f>SUM(D44:E44)</f>
        <v>0</v>
      </c>
      <c r="G44" s="154" t="str">
        <f t="shared" ref="G44:H46" si="7">IF($E44&lt;&gt;0,D44/$E44,"")</f>
        <v/>
      </c>
      <c r="H44" s="155" t="str">
        <f t="shared" si="7"/>
        <v/>
      </c>
    </row>
    <row r="45" spans="1:8" ht="18" customHeight="1" thickBot="1" x14ac:dyDescent="0.3">
      <c r="A45" s="552"/>
      <c r="B45" s="152" t="s">
        <v>113</v>
      </c>
      <c r="C45" s="156"/>
      <c r="D45" s="170">
        <v>1535</v>
      </c>
      <c r="E45" s="170">
        <v>347</v>
      </c>
      <c r="F45" s="156">
        <f>SUM(D45:E45)</f>
        <v>1882</v>
      </c>
      <c r="G45" s="157">
        <f t="shared" si="7"/>
        <v>4.423631123919308</v>
      </c>
      <c r="H45" s="158">
        <f t="shared" si="7"/>
        <v>1</v>
      </c>
    </row>
    <row r="46" spans="1:8" ht="18" customHeight="1" thickBot="1" x14ac:dyDescent="0.3">
      <c r="B46" s="159" t="s">
        <v>58</v>
      </c>
      <c r="C46" s="160"/>
      <c r="D46" s="160">
        <f>SUM(D22:D45)</f>
        <v>28241</v>
      </c>
      <c r="E46" s="160">
        <f>SUM(E22:E45)</f>
        <v>6384</v>
      </c>
      <c r="F46" s="160">
        <f>SUM(F22:F45)</f>
        <v>34625</v>
      </c>
      <c r="G46" s="161">
        <f t="shared" si="7"/>
        <v>4.4237155388471177</v>
      </c>
      <c r="H46" s="162">
        <f t="shared" si="7"/>
        <v>1</v>
      </c>
    </row>
    <row r="47" spans="1:8" ht="15.75" thickBot="1" x14ac:dyDescent="0.3"/>
    <row r="48" spans="1:8" ht="15.75" thickBot="1" x14ac:dyDescent="0.3">
      <c r="D48" s="163" t="s">
        <v>57</v>
      </c>
      <c r="E48" s="149" t="s">
        <v>56</v>
      </c>
    </row>
    <row r="49" spans="2:5" ht="15.75" thickBot="1" x14ac:dyDescent="0.3">
      <c r="B49" s="553" t="s">
        <v>99</v>
      </c>
      <c r="C49" s="554"/>
      <c r="D49" s="164">
        <f>IF(SUM(D34:E45)&lt;&gt;0,SUM(D34:D45)/SUM(D34:E45),"")</f>
        <v>0.81562167906482463</v>
      </c>
      <c r="E49" s="165">
        <f>IF(SUM(D34:E45)&lt;&gt;0,SUM(E34:E45)/SUM(D34:E45),"")</f>
        <v>0.18437832093517534</v>
      </c>
    </row>
  </sheetData>
  <sheetProtection algorithmName="SHA-512" hashValue="TnHbsk/PsaiZ6FjodFHMn9ptGGNKTb6mEWqd2PXoHmvbGnJqMk/4fucJ/HDCV80TqG3DXtmhOEjIWtnf3zWdbQ==" saltValue="A5Ej14RnKAQnWt7rayTe4Q==" spinCount="100000" sheet="1" selectLockedCells="1"/>
  <mergeCells count="14">
    <mergeCell ref="B1:G2"/>
    <mergeCell ref="B16:D16"/>
    <mergeCell ref="E16:G16"/>
    <mergeCell ref="B6:C6"/>
    <mergeCell ref="E6:F6"/>
    <mergeCell ref="B4:G4"/>
    <mergeCell ref="B14:C14"/>
    <mergeCell ref="E14:F14"/>
    <mergeCell ref="A22:A33"/>
    <mergeCell ref="A34:A45"/>
    <mergeCell ref="B49:C49"/>
    <mergeCell ref="E17:G17"/>
    <mergeCell ref="B17:D17"/>
    <mergeCell ref="B20:H20"/>
  </mergeCells>
  <phoneticPr fontId="24"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Mode d'emploi</vt:lpstr>
      <vt:lpstr>1a_Electricité_Comparatifs_Base</vt:lpstr>
      <vt:lpstr>1b_Electricité_Comparatifs_HPHC</vt:lpstr>
      <vt:lpstr>2_Gaz_Comparatif</vt:lpstr>
      <vt:lpstr>EDF</vt:lpstr>
      <vt:lpstr>MégaEnergie_Elec</vt:lpstr>
      <vt:lpstr>ENGIE</vt:lpstr>
      <vt:lpstr>MégaEnergie_Gaz</vt:lpstr>
      <vt:lpstr>Calculateur_conso_bimensuelles</vt:lpstr>
      <vt:lpstr>Feuil1 (2)</vt:lpstr>
      <vt:lpstr>TB_Base</vt:lpstr>
      <vt:lpstr>TB_HPHC</vt:lpstr>
      <vt:lpstr>TBE_Base</vt:lpstr>
      <vt:lpstr>TBE_HPHC</vt:lpstr>
      <vt:lpstr>YG_Part_Base</vt:lpstr>
      <vt:lpstr>YG_Part_HPHC</vt:lpstr>
      <vt:lpstr>YG_Pro_Base</vt:lpstr>
      <vt:lpstr>YG_Pro_HPHC</vt:lpstr>
      <vt:lpstr>'1a_Electricité_Comparatifs_Base'!Zone_d_impression</vt:lpstr>
      <vt:lpstr>'1b_Electricité_Comparatifs_HPHC'!Zone_d_impression</vt:lpstr>
      <vt:lpstr>'2_Gaz_Comparatif'!Zone_d_impression</vt:lpstr>
      <vt:lpstr>EDF!Zone_d_impression</vt:lpstr>
      <vt:lpstr>ENGIE!Zone_d_impression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TEITGEN</dc:creator>
  <cp:lastModifiedBy>Christian TEITGEN</cp:lastModifiedBy>
  <cp:lastPrinted>2021-03-13T10:33:37Z</cp:lastPrinted>
  <dcterms:created xsi:type="dcterms:W3CDTF">2019-05-22T16:40:14Z</dcterms:created>
  <dcterms:modified xsi:type="dcterms:W3CDTF">2021-03-20T22:59:02Z</dcterms:modified>
</cp:coreProperties>
</file>